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615"/>
  <workbookPr/>
  <mc:AlternateContent xmlns:mc="http://schemas.openxmlformats.org/markup-compatibility/2006">
    <mc:Choice Requires="x15">
      <x15ac:absPath xmlns:x15ac="http://schemas.microsoft.com/office/spreadsheetml/2010/11/ac" url="/Users/robterwel/Documents/RVT Consulting/"/>
    </mc:Choice>
  </mc:AlternateContent>
  <bookViews>
    <workbookView xWindow="0" yWindow="460" windowWidth="28800" windowHeight="17460" tabRatio="500"/>
  </bookViews>
  <sheets>
    <sheet name="Overview" sheetId="16" r:id="rId1"/>
    <sheet name="Process" sheetId="1" r:id="rId2"/>
    <sheet name="CO2_emissions" sheetId="10" r:id="rId3"/>
    <sheet name="Tata_gases" sheetId="2" r:id="rId4"/>
    <sheet name="CO2_Storage_Costs" sheetId="15" r:id="rId5"/>
    <sheet name="Sources" sheetId="14" r:id="rId6"/>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L13" i="1" l="1"/>
  <c r="O80" i="1"/>
  <c r="O81" i="1"/>
  <c r="I16" i="1"/>
  <c r="O85" i="1"/>
  <c r="O88" i="1"/>
  <c r="O89" i="1"/>
  <c r="O92" i="1"/>
  <c r="O94" i="1"/>
  <c r="O96" i="1"/>
  <c r="O97" i="1"/>
  <c r="I17" i="1"/>
  <c r="I18" i="1"/>
  <c r="D40" i="15"/>
  <c r="E117" i="1"/>
  <c r="E120" i="1"/>
  <c r="E121" i="1"/>
  <c r="E123" i="1"/>
  <c r="E48" i="1"/>
  <c r="E118" i="1"/>
  <c r="I8" i="1"/>
  <c r="I9" i="1"/>
  <c r="W42" i="1"/>
  <c r="W44" i="1"/>
  <c r="K22" i="1"/>
  <c r="E12" i="1"/>
  <c r="G22" i="1"/>
  <c r="W91" i="1"/>
  <c r="L30" i="1"/>
  <c r="O8" i="1"/>
  <c r="E43" i="10"/>
  <c r="E44" i="10"/>
  <c r="I12" i="10"/>
  <c r="D26" i="10"/>
  <c r="E46" i="10"/>
  <c r="I14" i="10"/>
  <c r="D28" i="10"/>
  <c r="E48" i="10"/>
  <c r="D29" i="10"/>
  <c r="E49" i="10"/>
  <c r="I16" i="10"/>
  <c r="D30" i="10"/>
  <c r="E50" i="10"/>
  <c r="I13" i="10"/>
  <c r="D27" i="10"/>
  <c r="E47" i="10"/>
  <c r="D12" i="10"/>
  <c r="D13" i="10"/>
  <c r="E45" i="10"/>
  <c r="E55" i="10"/>
  <c r="E56" i="10"/>
  <c r="D74" i="10"/>
  <c r="D75" i="10"/>
  <c r="D43" i="10"/>
  <c r="D44" i="10"/>
  <c r="D54" i="10"/>
  <c r="D46" i="10"/>
  <c r="D47" i="10"/>
  <c r="D55" i="10"/>
  <c r="H39" i="10"/>
  <c r="S27" i="1"/>
  <c r="D34" i="10"/>
  <c r="D33" i="10"/>
  <c r="W76" i="1"/>
  <c r="R12" i="1"/>
  <c r="W16" i="1"/>
  <c r="E33" i="10"/>
  <c r="F43" i="10"/>
  <c r="G43" i="10"/>
  <c r="G54" i="10"/>
  <c r="G46" i="10"/>
  <c r="G47" i="10"/>
  <c r="G55" i="10"/>
  <c r="F56" i="10"/>
  <c r="W58" i="1"/>
  <c r="F47" i="10"/>
  <c r="E69" i="1"/>
  <c r="AR16" i="1"/>
  <c r="AR15" i="1"/>
  <c r="AR17" i="1"/>
  <c r="AR18" i="1"/>
  <c r="AR19" i="1"/>
  <c r="W86" i="1"/>
  <c r="W87" i="1"/>
  <c r="W92" i="1"/>
  <c r="W93" i="1"/>
  <c r="W94" i="1"/>
  <c r="W95" i="1"/>
  <c r="W80" i="1"/>
  <c r="W78" i="1"/>
  <c r="W82" i="1"/>
  <c r="W81" i="1"/>
  <c r="W83" i="1"/>
  <c r="W96" i="1"/>
  <c r="W103" i="1"/>
  <c r="W97" i="1"/>
  <c r="W99" i="1"/>
  <c r="W84" i="1"/>
  <c r="W101" i="1"/>
  <c r="W88" i="1"/>
  <c r="W106" i="1"/>
  <c r="C170" i="2"/>
  <c r="C172" i="2"/>
  <c r="C57" i="2"/>
  <c r="C58" i="2"/>
  <c r="C110" i="2"/>
  <c r="C111" i="2"/>
  <c r="C112" i="2"/>
  <c r="C118" i="2"/>
  <c r="C119" i="2"/>
  <c r="C122" i="2"/>
  <c r="E52" i="1"/>
  <c r="C94" i="2"/>
  <c r="C93" i="2"/>
  <c r="C95" i="2"/>
  <c r="C101" i="2"/>
  <c r="C63" i="2"/>
  <c r="C102" i="2"/>
  <c r="C130" i="2"/>
  <c r="C133" i="2"/>
  <c r="AR9" i="1"/>
  <c r="F51" i="10"/>
  <c r="I18" i="10"/>
  <c r="E32" i="10"/>
  <c r="F52" i="10"/>
  <c r="AE70" i="1"/>
  <c r="AE71" i="1"/>
  <c r="AN85" i="1"/>
  <c r="AN77" i="1"/>
  <c r="AN82" i="1"/>
  <c r="AN81" i="1"/>
  <c r="AN84" i="1"/>
  <c r="AN87" i="1"/>
  <c r="AN89" i="1"/>
  <c r="O84" i="1"/>
  <c r="O73" i="1"/>
  <c r="O76" i="1"/>
  <c r="O90" i="1"/>
  <c r="O77" i="1"/>
  <c r="W112" i="1"/>
  <c r="W153" i="1"/>
  <c r="W154" i="1"/>
  <c r="W113" i="1"/>
  <c r="W155" i="1"/>
  <c r="W118" i="1"/>
  <c r="W120" i="1"/>
  <c r="O48" i="1"/>
  <c r="C34" i="2"/>
  <c r="C38" i="2"/>
  <c r="C43" i="2"/>
  <c r="C51" i="2"/>
  <c r="C42" i="2"/>
  <c r="C50" i="2"/>
  <c r="L35" i="2"/>
  <c r="L33" i="2"/>
  <c r="L37" i="2"/>
  <c r="L40" i="2"/>
  <c r="L45" i="2"/>
  <c r="C54" i="2"/>
  <c r="L39" i="2"/>
  <c r="L44" i="2"/>
  <c r="C53" i="2"/>
  <c r="D78" i="10"/>
  <c r="AV73" i="1"/>
  <c r="AV74" i="1"/>
  <c r="AV79" i="1"/>
  <c r="AV80" i="1"/>
  <c r="AV81" i="1"/>
  <c r="E27" i="10"/>
  <c r="I17" i="10"/>
  <c r="E31" i="10"/>
  <c r="F45" i="10"/>
  <c r="E26" i="10"/>
  <c r="F46" i="10"/>
  <c r="D68" i="10"/>
  <c r="D67" i="10"/>
  <c r="D69" i="10"/>
  <c r="W23" i="1"/>
  <c r="AG54" i="1"/>
  <c r="AG57" i="1"/>
  <c r="D79" i="10"/>
  <c r="AE76" i="1"/>
  <c r="AE77" i="1"/>
  <c r="AE80" i="1"/>
  <c r="AE81" i="1"/>
  <c r="AE82" i="1"/>
  <c r="AG43" i="1"/>
  <c r="AV86" i="1"/>
  <c r="AV87" i="1"/>
  <c r="AV89" i="1"/>
  <c r="AV90" i="1"/>
  <c r="AV96" i="1"/>
  <c r="AV82" i="1"/>
  <c r="AV93" i="1"/>
  <c r="AV94" i="1"/>
  <c r="AV98" i="1"/>
  <c r="E79" i="1"/>
  <c r="E84" i="1"/>
  <c r="E85" i="1"/>
  <c r="E106" i="1"/>
  <c r="E108" i="1"/>
  <c r="E109" i="1"/>
  <c r="E100" i="1"/>
  <c r="E101" i="1"/>
  <c r="E99" i="1"/>
  <c r="E102" i="1"/>
  <c r="E104" i="1"/>
  <c r="E111" i="1"/>
  <c r="C23" i="1"/>
  <c r="AE87" i="1"/>
  <c r="AE88" i="1"/>
  <c r="AE89" i="1"/>
  <c r="AE91" i="1"/>
  <c r="AE93" i="1"/>
  <c r="AE95" i="1"/>
  <c r="AE83" i="1"/>
  <c r="AE84" i="1"/>
  <c r="AE97" i="1"/>
  <c r="S28" i="1"/>
  <c r="O44" i="1"/>
  <c r="W17" i="1"/>
  <c r="AN91" i="1"/>
  <c r="AN92" i="1"/>
  <c r="AN72" i="1"/>
  <c r="AN73" i="1"/>
  <c r="AN74" i="1"/>
  <c r="AN94" i="1"/>
  <c r="R13" i="1"/>
  <c r="O45" i="1"/>
  <c r="L31" i="1"/>
  <c r="W123" i="1"/>
  <c r="W124" i="1"/>
  <c r="W125" i="1"/>
  <c r="W127" i="1"/>
  <c r="W129" i="1"/>
  <c r="W132" i="1"/>
  <c r="W137" i="1"/>
  <c r="W144" i="1"/>
  <c r="W145" i="1"/>
  <c r="W146" i="1"/>
  <c r="W138" i="1"/>
  <c r="W140" i="1"/>
  <c r="W141" i="1"/>
  <c r="W142" i="1"/>
  <c r="W148" i="1"/>
  <c r="K23" i="1"/>
  <c r="C77" i="2"/>
  <c r="C78" i="2"/>
  <c r="C79" i="2"/>
  <c r="C81" i="2"/>
  <c r="C97" i="2"/>
  <c r="C98" i="2"/>
  <c r="C99" i="2"/>
  <c r="W69" i="1"/>
  <c r="O9" i="1"/>
  <c r="O41" i="1"/>
  <c r="E80" i="1"/>
  <c r="E82" i="1"/>
  <c r="E87" i="1"/>
  <c r="E76" i="1"/>
  <c r="E73" i="1"/>
  <c r="E75" i="1"/>
  <c r="E89" i="1"/>
  <c r="E13" i="1"/>
  <c r="G23" i="1"/>
  <c r="O40" i="1"/>
  <c r="O42" i="1"/>
  <c r="L14" i="1"/>
  <c r="O43" i="1"/>
  <c r="O46" i="1"/>
  <c r="W29" i="1"/>
  <c r="O51" i="1"/>
  <c r="AR20" i="1"/>
  <c r="AR21" i="1"/>
  <c r="AR22" i="1"/>
  <c r="AR25" i="1"/>
  <c r="O49" i="1"/>
  <c r="O52" i="1"/>
  <c r="O54" i="1"/>
  <c r="O55" i="1"/>
  <c r="W53" i="1"/>
  <c r="O50" i="1"/>
  <c r="W51" i="1"/>
  <c r="W52" i="1"/>
  <c r="W48" i="1"/>
  <c r="W50" i="1"/>
  <c r="D16" i="15"/>
  <c r="I10" i="15"/>
  <c r="AG55" i="1"/>
  <c r="AG42" i="1"/>
  <c r="W49" i="1"/>
  <c r="AG41" i="1"/>
  <c r="D80" i="10"/>
  <c r="C59" i="2"/>
  <c r="C60" i="2"/>
  <c r="C64" i="2"/>
  <c r="C66" i="2"/>
  <c r="D33" i="15"/>
  <c r="D34" i="15"/>
  <c r="D43" i="15"/>
  <c r="D38" i="15"/>
  <c r="D37" i="15"/>
  <c r="D39" i="15"/>
  <c r="D42" i="15"/>
  <c r="D45" i="15"/>
  <c r="D35" i="1"/>
  <c r="C169" i="2"/>
  <c r="C210" i="2"/>
  <c r="C212" i="2"/>
  <c r="C214" i="2"/>
  <c r="C162" i="2"/>
  <c r="C164" i="2"/>
  <c r="C167" i="2"/>
  <c r="O53" i="1"/>
  <c r="O56" i="1"/>
  <c r="O58" i="1"/>
  <c r="AG44" i="1"/>
  <c r="AG48" i="1"/>
  <c r="AG40" i="1"/>
  <c r="AG45" i="1"/>
  <c r="AG46" i="1"/>
  <c r="AG47" i="1"/>
  <c r="AG50" i="1"/>
  <c r="AG52" i="1"/>
  <c r="W57" i="1"/>
  <c r="AR12" i="1"/>
  <c r="W54" i="1"/>
  <c r="C84" i="2"/>
  <c r="I15" i="10"/>
  <c r="W59" i="1"/>
  <c r="F55" i="10"/>
  <c r="D63" i="10"/>
  <c r="D64" i="10"/>
  <c r="D76" i="10"/>
  <c r="D65" i="10"/>
  <c r="E35" i="10"/>
  <c r="D25" i="15"/>
  <c r="D11" i="15"/>
  <c r="D24" i="15"/>
  <c r="D26" i="15"/>
  <c r="D10" i="15"/>
  <c r="W45" i="1"/>
  <c r="F50" i="2"/>
  <c r="F53" i="2"/>
  <c r="D86" i="10"/>
  <c r="D14" i="10"/>
  <c r="D15" i="10"/>
  <c r="D16" i="10"/>
  <c r="D17" i="10"/>
  <c r="D35" i="10"/>
  <c r="D37" i="10"/>
  <c r="D38" i="10"/>
  <c r="C201" i="2"/>
  <c r="C202" i="2"/>
  <c r="C204" i="2"/>
  <c r="C183" i="2"/>
  <c r="C185" i="2"/>
  <c r="C188" i="2"/>
  <c r="C191" i="2"/>
  <c r="C193" i="2"/>
  <c r="C141" i="2"/>
  <c r="C142" i="2"/>
  <c r="O39" i="2"/>
  <c r="O44" i="2"/>
  <c r="L48" i="2"/>
  <c r="I105" i="15"/>
  <c r="E119" i="15"/>
  <c r="I106" i="15"/>
  <c r="E120" i="15"/>
  <c r="E121" i="15"/>
  <c r="I100" i="15"/>
  <c r="E114" i="15"/>
  <c r="I101" i="15"/>
  <c r="E115" i="15"/>
  <c r="E123" i="15"/>
  <c r="F142" i="15"/>
  <c r="D100" i="15"/>
  <c r="D101" i="15"/>
  <c r="E133" i="15"/>
  <c r="G141" i="15"/>
  <c r="D154" i="15"/>
  <c r="D134" i="15"/>
  <c r="D135" i="15"/>
  <c r="F131" i="15"/>
  <c r="D131" i="15"/>
  <c r="D153" i="15"/>
  <c r="D155" i="15"/>
  <c r="D149" i="15"/>
  <c r="D150" i="15"/>
  <c r="D151" i="15"/>
  <c r="D121" i="15"/>
  <c r="D122" i="15"/>
  <c r="D114" i="15"/>
  <c r="D115" i="15"/>
  <c r="I102" i="15"/>
  <c r="D116" i="15"/>
  <c r="I103" i="15"/>
  <c r="D117" i="15"/>
  <c r="I104" i="15"/>
  <c r="D118" i="15"/>
  <c r="D123" i="15"/>
  <c r="E142" i="15"/>
  <c r="F140" i="15"/>
  <c r="F139" i="15"/>
  <c r="E138" i="15"/>
  <c r="E137" i="15"/>
  <c r="E136" i="15"/>
  <c r="F135" i="15"/>
  <c r="E135" i="15"/>
  <c r="F134" i="15"/>
  <c r="E134" i="15"/>
  <c r="F133" i="15"/>
  <c r="E132" i="15"/>
  <c r="E131" i="15"/>
  <c r="D104" i="15"/>
  <c r="D105" i="15"/>
  <c r="D126" i="15"/>
  <c r="E125" i="15"/>
  <c r="D125" i="15"/>
  <c r="E124" i="15"/>
  <c r="D124" i="15"/>
  <c r="D109" i="15"/>
  <c r="D108" i="15"/>
  <c r="D102" i="15"/>
  <c r="D103" i="15"/>
  <c r="C145" i="2"/>
  <c r="C148" i="2"/>
  <c r="W24" i="1"/>
  <c r="W30" i="1"/>
  <c r="D20" i="10"/>
  <c r="D21" i="10"/>
  <c r="D36" i="10"/>
  <c r="E36" i="10"/>
  <c r="E37" i="10"/>
  <c r="C86" i="2"/>
  <c r="C85" i="2"/>
  <c r="C149" i="2"/>
  <c r="C39" i="2"/>
  <c r="C107" i="2"/>
  <c r="K24" i="1"/>
  <c r="AN78" i="1"/>
</calcChain>
</file>

<file path=xl/sharedStrings.xml><?xml version="1.0" encoding="utf-8"?>
<sst xmlns="http://schemas.openxmlformats.org/spreadsheetml/2006/main" count="1295" uniqueCount="646">
  <si>
    <t>CO2</t>
  </si>
  <si>
    <t>H2</t>
  </si>
  <si>
    <t>FT</t>
  </si>
  <si>
    <t>Kerosene</t>
  </si>
  <si>
    <t>Electrolysis</t>
  </si>
  <si>
    <t>kWh/kg H2</t>
  </si>
  <si>
    <t>Renewable</t>
  </si>
  <si>
    <t>Res. Price</t>
  </si>
  <si>
    <t>Efficiency</t>
  </si>
  <si>
    <t>Investment</t>
  </si>
  <si>
    <t>FLH</t>
  </si>
  <si>
    <t>Lifetime</t>
  </si>
  <si>
    <t>yrs</t>
  </si>
  <si>
    <t>Heat cost</t>
  </si>
  <si>
    <t>hrs</t>
  </si>
  <si>
    <t>Capacity</t>
  </si>
  <si>
    <t>Concentrated CO2</t>
  </si>
  <si>
    <t>Capture potential</t>
  </si>
  <si>
    <t>Capture costs</t>
  </si>
  <si>
    <t>Constants</t>
  </si>
  <si>
    <t>Molar masses</t>
  </si>
  <si>
    <t>CO</t>
  </si>
  <si>
    <t>C11H24</t>
  </si>
  <si>
    <t>g/mol</t>
  </si>
  <si>
    <t>11CO+23H2-&gt;C11H24+11H2O</t>
  </si>
  <si>
    <t>Diesel</t>
  </si>
  <si>
    <t>Gases (heat)</t>
  </si>
  <si>
    <t>Mton</t>
  </si>
  <si>
    <t>Cost</t>
  </si>
  <si>
    <t>M euro</t>
  </si>
  <si>
    <t>RWS</t>
  </si>
  <si>
    <t>O2</t>
  </si>
  <si>
    <t>Size</t>
  </si>
  <si>
    <t>O&amp;M cost</t>
  </si>
  <si>
    <t>BOF</t>
  </si>
  <si>
    <t>BF</t>
  </si>
  <si>
    <t>CH4</t>
  </si>
  <si>
    <t>molar mass</t>
  </si>
  <si>
    <t>N2</t>
  </si>
  <si>
    <t>C2H4</t>
  </si>
  <si>
    <t>C6H6</t>
  </si>
  <si>
    <t>C2-C5</t>
  </si>
  <si>
    <t>C2H6</t>
  </si>
  <si>
    <t>COG</t>
  </si>
  <si>
    <t>PJ</t>
  </si>
  <si>
    <t>OVERALL</t>
  </si>
  <si>
    <t>Mton CO2</t>
  </si>
  <si>
    <t>Reactions that took place</t>
  </si>
  <si>
    <t>so every mol emitted corresponds to one mol of the carbon containing reactants</t>
  </si>
  <si>
    <t>Hence we had</t>
  </si>
  <si>
    <t>This corresponds to</t>
  </si>
  <si>
    <t>Mton CO</t>
  </si>
  <si>
    <t>Total</t>
  </si>
  <si>
    <t>This brings us to a total CO capture potential of</t>
  </si>
  <si>
    <t>and avoid emitting</t>
  </si>
  <si>
    <t>CO yield</t>
  </si>
  <si>
    <t>H2 required:</t>
  </si>
  <si>
    <t>40-70% of 0.49</t>
  </si>
  <si>
    <t>kg/m3</t>
  </si>
  <si>
    <t>kwh/m3 CO</t>
  </si>
  <si>
    <t>MJ/kg CO</t>
  </si>
  <si>
    <t>kwh/kg CO</t>
  </si>
  <si>
    <t>RMB/kg</t>
  </si>
  <si>
    <t>enthalpy of combustion</t>
  </si>
  <si>
    <t>MJ/mol</t>
  </si>
  <si>
    <t>Have</t>
  </si>
  <si>
    <t>Tkg</t>
  </si>
  <si>
    <t>to pay for that, CO will have to be sold for</t>
  </si>
  <si>
    <t>Total cost (heat+CO)</t>
  </si>
  <si>
    <t>of heat when combusted</t>
  </si>
  <si>
    <t>y</t>
  </si>
  <si>
    <t>Mt</t>
  </si>
  <si>
    <t>CO Capture pot</t>
  </si>
  <si>
    <t>MOL%</t>
  </si>
  <si>
    <t>fraction CO of carbon in BFG</t>
  </si>
  <si>
    <t>fraction CO2 of carbon in BFG</t>
  </si>
  <si>
    <t>capture potential</t>
  </si>
  <si>
    <t>CO Capture</t>
  </si>
  <si>
    <t>here</t>
  </si>
  <si>
    <t>Conversion</t>
  </si>
  <si>
    <t>Sunfire</t>
  </si>
  <si>
    <t>investment</t>
  </si>
  <si>
    <t>Opus 12</t>
  </si>
  <si>
    <t>%</t>
  </si>
  <si>
    <t>Route</t>
  </si>
  <si>
    <t>PEM-CO2</t>
  </si>
  <si>
    <t>PEM CO2</t>
  </si>
  <si>
    <t>RWGS</t>
  </si>
  <si>
    <t>CO2 Electrolysis</t>
  </si>
  <si>
    <t>Yield</t>
  </si>
  <si>
    <t>Utility cost</t>
  </si>
  <si>
    <t>O&amp;M</t>
  </si>
  <si>
    <t>Mwe</t>
  </si>
  <si>
    <t>GWh</t>
  </si>
  <si>
    <t>Electricity</t>
  </si>
  <si>
    <t>CO prod</t>
  </si>
  <si>
    <t>Mt/y</t>
  </si>
  <si>
    <t>Mt CO</t>
  </si>
  <si>
    <t>Mt CO2</t>
  </si>
  <si>
    <t>Mt H2/y</t>
  </si>
  <si>
    <t>Gas price</t>
  </si>
  <si>
    <t>spot NL TTF</t>
  </si>
  <si>
    <t>% CAPEX</t>
  </si>
  <si>
    <t>% capex</t>
  </si>
  <si>
    <t>factor</t>
  </si>
  <si>
    <t>for</t>
  </si>
  <si>
    <t>kg CO/s</t>
  </si>
  <si>
    <t>Here</t>
  </si>
  <si>
    <t>Mt CO/y</t>
  </si>
  <si>
    <t>Energy</t>
  </si>
  <si>
    <t>MW heating</t>
  </si>
  <si>
    <t>MW compression</t>
  </si>
  <si>
    <t>MWh/y</t>
  </si>
  <si>
    <t>MWh</t>
  </si>
  <si>
    <t>Heating</t>
  </si>
  <si>
    <t>Doty</t>
  </si>
  <si>
    <t>MeOH</t>
  </si>
  <si>
    <t>33 H2 + 11 CO2 -&gt; 11 CH3OH + 11 H2O</t>
  </si>
  <si>
    <t>CH3OH</t>
  </si>
  <si>
    <t>Methanol</t>
  </si>
  <si>
    <t>MeOH synthesis</t>
  </si>
  <si>
    <t>MeOH prod</t>
  </si>
  <si>
    <t>Mt MeOH</t>
  </si>
  <si>
    <t>kWh/t MeOH</t>
  </si>
  <si>
    <t>CRI</t>
  </si>
  <si>
    <t>Innovatum</t>
  </si>
  <si>
    <t>Assumption</t>
  </si>
  <si>
    <t>MtK</t>
  </si>
  <si>
    <t xml:space="preserve">11 CH3OH + H2 -&gt; C11H24 + 11H2O </t>
  </si>
  <si>
    <t>MeOH upgrade</t>
  </si>
  <si>
    <t>GJ/t</t>
  </si>
  <si>
    <t>Heat</t>
  </si>
  <si>
    <t>Electricity req</t>
  </si>
  <si>
    <t>Steam req</t>
  </si>
  <si>
    <t>Electricity cost</t>
  </si>
  <si>
    <t>Steam cost</t>
  </si>
  <si>
    <t>Invest &amp; O&amp;M</t>
  </si>
  <si>
    <t>Total cost</t>
  </si>
  <si>
    <t>Compression</t>
  </si>
  <si>
    <t>Therm. min.</t>
  </si>
  <si>
    <t>Energy req.</t>
  </si>
  <si>
    <t>Tmol</t>
  </si>
  <si>
    <t>Tmol CO</t>
  </si>
  <si>
    <t>Tmol CO2</t>
  </si>
  <si>
    <t>Tmol H2</t>
  </si>
  <si>
    <t>Mton H2</t>
  </si>
  <si>
    <t>O2 &amp; AR</t>
  </si>
  <si>
    <t>Total emissions of Tata's facility (incl. indirect emissions by NUON) were</t>
  </si>
  <si>
    <t>Of this quantity,</t>
  </si>
  <si>
    <t>originated in the BFG, equivalent to a</t>
  </si>
  <si>
    <t>Tmol CO2-eq</t>
  </si>
  <si>
    <t>The carbon fractions in the BF are as follows</t>
  </si>
  <si>
    <t>Mton CO2-eq</t>
  </si>
  <si>
    <t>and thus avoid emissions of</t>
  </si>
  <si>
    <t>O2 production</t>
  </si>
  <si>
    <t>kWh/t CO2</t>
  </si>
  <si>
    <t>GJ/t CO2</t>
  </si>
  <si>
    <t>M€/y</t>
  </si>
  <si>
    <t>M€</t>
  </si>
  <si>
    <t>Equipment</t>
  </si>
  <si>
    <t>Compound \\ mol%</t>
  </si>
  <si>
    <t>kg steam</t>
  </si>
  <si>
    <t>MJ/Nm3 CO</t>
  </si>
  <si>
    <t>MJ NG /kg CO</t>
  </si>
  <si>
    <t>Use</t>
  </si>
  <si>
    <t>electricity for steam generation</t>
  </si>
  <si>
    <t>heat for steam generation</t>
  </si>
  <si>
    <t>Gas (for steam)</t>
  </si>
  <si>
    <t>Energy cost for capture, purification, cleaning and compression</t>
  </si>
  <si>
    <t>RMB/Nm3 CO</t>
  </si>
  <si>
    <t>Fixed cost</t>
  </si>
  <si>
    <t>Investment &amp; O&amp;M</t>
  </si>
  <si>
    <t>Both 0 if enough waste heat</t>
  </si>
  <si>
    <t>VPSA Tech</t>
  </si>
  <si>
    <t>Total cost of CO cap.</t>
  </si>
  <si>
    <t>Density  CO</t>
  </si>
  <si>
    <t>CO and CO2 availability from BFG</t>
  </si>
  <si>
    <t>CO Economics</t>
  </si>
  <si>
    <t>CO capture</t>
  </si>
  <si>
    <t>capture yield</t>
  </si>
  <si>
    <t>Left with</t>
  </si>
  <si>
    <t>and is worth</t>
  </si>
  <si>
    <t>If this could be sold for production price, the total cost of CO capture would be</t>
  </si>
  <si>
    <t>Would need</t>
  </si>
  <si>
    <t>if 85.7% efficient natural gas fired steam boiler</t>
  </si>
  <si>
    <t>if 99% efficient electric steam boiler</t>
  </si>
  <si>
    <t>€/t</t>
  </si>
  <si>
    <t>€/t CO2</t>
  </si>
  <si>
    <t>Mt CO2/yr</t>
  </si>
  <si>
    <t>€/t H2</t>
  </si>
  <si>
    <t>€/kW</t>
  </si>
  <si>
    <t>Peak factor</t>
  </si>
  <si>
    <t>€/t CO</t>
  </si>
  <si>
    <t>€/t CO in terms of H2 cost</t>
  </si>
  <si>
    <t>€/t MeOH</t>
  </si>
  <si>
    <t>DAC</t>
  </si>
  <si>
    <t>COSORB</t>
  </si>
  <si>
    <t>C-CO2-C</t>
  </si>
  <si>
    <t>C-CO-C</t>
  </si>
  <si>
    <t>MeOH syn</t>
  </si>
  <si>
    <t>MeOH up</t>
  </si>
  <si>
    <t>MeOH syn CO</t>
  </si>
  <si>
    <t xml:space="preserve">Excess </t>
  </si>
  <si>
    <t>Share</t>
  </si>
  <si>
    <t>Price</t>
  </si>
  <si>
    <t>€/MJ</t>
  </si>
  <si>
    <t>€/MWh</t>
  </si>
  <si>
    <t>€/kWh</t>
  </si>
  <si>
    <t>€/t eq</t>
  </si>
  <si>
    <t>€/t total</t>
  </si>
  <si>
    <t>Mt (from CO &amp; CO2)</t>
  </si>
  <si>
    <t>assumption</t>
  </si>
  <si>
    <t>Total eq. cost</t>
  </si>
  <si>
    <t>PtL kerosene</t>
  </si>
  <si>
    <t>Fossil diesel</t>
  </si>
  <si>
    <t>Fossil kerosene</t>
  </si>
  <si>
    <t>GJ/t MeOH</t>
  </si>
  <si>
    <t>Me</t>
  </si>
  <si>
    <t>MJ/kg</t>
  </si>
  <si>
    <t>CO2 balance</t>
  </si>
  <si>
    <t>at Tata</t>
  </si>
  <si>
    <t>Fossil Capture</t>
  </si>
  <si>
    <t>Air Capture</t>
  </si>
  <si>
    <t>Losses</t>
  </si>
  <si>
    <t>Sum</t>
  </si>
  <si>
    <t>Tmol CO2 in BFG</t>
  </si>
  <si>
    <t>carbon yield in fuel</t>
  </si>
  <si>
    <t>Total capture</t>
  </si>
  <si>
    <t>Recycled CO2</t>
  </si>
  <si>
    <t>Captured CO2</t>
  </si>
  <si>
    <t>CO2 captured from the atmosphere; no new brought in</t>
  </si>
  <si>
    <t>CO2 captured from fossil fuels; avoids use of fossil kerosene but still releases releases CO2 into the atmosphere (yet avoids the CO2 of burning fossil kerosine)</t>
  </si>
  <si>
    <t>no CO2 added</t>
  </si>
  <si>
    <t>CO2 added (which would be added anyways), but no additional CO2 from fuels</t>
  </si>
  <si>
    <t>CO2 added from otherwise captured plants and from burning</t>
  </si>
  <si>
    <t>Net result</t>
  </si>
  <si>
    <t>FT route</t>
  </si>
  <si>
    <t>MeOH route</t>
  </si>
  <si>
    <t>CO2 eq</t>
  </si>
  <si>
    <t>Mt CO2 upon burning if featured in avoided emissions</t>
  </si>
  <si>
    <t>Mt CO2 upon burning if featured in plant emissions for fossil</t>
  </si>
  <si>
    <t>Mt CO2 upon combustion of 1 Mt kerosene</t>
  </si>
  <si>
    <t>Mt new CO2 upon burning</t>
  </si>
  <si>
    <t>fraction</t>
  </si>
  <si>
    <t>CO2 emissions when including emissions of BFG</t>
  </si>
  <si>
    <t>CO2 emissions of combustion</t>
  </si>
  <si>
    <t>Net MeOH result</t>
  </si>
  <si>
    <t>BFG-CO2</t>
  </si>
  <si>
    <t>BFG-CO</t>
  </si>
  <si>
    <t>Fossil ref (MeOH)</t>
  </si>
  <si>
    <t>Carbon efficiency</t>
  </si>
  <si>
    <t>Balance</t>
  </si>
  <si>
    <t>CO2-emissions per step on molar basis</t>
  </si>
  <si>
    <t>CO2-emissions per step on mass basis</t>
  </si>
  <si>
    <t>CO2 intensity of kerosene for MeOH route (FT is similar if coproducts are taken into account)</t>
  </si>
  <si>
    <t>€/l spot price excl. carbon pricing &amp; taxes</t>
  </si>
  <si>
    <t>Mt H2</t>
  </si>
  <si>
    <t>from PEM_CO2</t>
  </si>
  <si>
    <t>Total O2</t>
  </si>
  <si>
    <t xml:space="preserve">Mton </t>
  </si>
  <si>
    <t>22 H2 + 11 CO -&gt; 11 CH3OH</t>
  </si>
  <si>
    <t>bbl/d</t>
  </si>
  <si>
    <t>kt/day</t>
  </si>
  <si>
    <t>Mt/yr</t>
  </si>
  <si>
    <t>kWh/t</t>
  </si>
  <si>
    <t>€/t kerosene</t>
  </si>
  <si>
    <t>MWe</t>
  </si>
  <si>
    <t>This excludes sale of rest products, see below</t>
  </si>
  <si>
    <t>See H2</t>
  </si>
  <si>
    <t>Energ. cost</t>
  </si>
  <si>
    <t>Energy cost</t>
  </si>
  <si>
    <t>CO2 capture</t>
  </si>
  <si>
    <t>B€</t>
  </si>
  <si>
    <t>To produce</t>
  </si>
  <si>
    <t>Mt kerosene</t>
  </si>
  <si>
    <t>Million US barrels of kerosene a year</t>
  </si>
  <si>
    <t>Tata retrofit, financing</t>
  </si>
  <si>
    <t>excl. transport, land use</t>
  </si>
  <si>
    <t>estimate</t>
  </si>
  <si>
    <t>Used for</t>
  </si>
  <si>
    <t>Reference</t>
  </si>
  <si>
    <t>Kim et al., IEA</t>
  </si>
  <si>
    <t>IEA</t>
  </si>
  <si>
    <t>Kim et al. (2015): Economic process design for separation of CO2 from the off-gases in ironmaking and steelmaking plants. Energy 88, 756-764</t>
  </si>
  <si>
    <t>Kuramochi (2011): CO2 capture in industries and distributed energy systems: Possibilities and limitations</t>
  </si>
  <si>
    <t>€/t CO2/y</t>
  </si>
  <si>
    <t>Kuramochi</t>
  </si>
  <si>
    <t>Investment, O&amp;M, Lifetime</t>
  </si>
  <si>
    <t>Stage</t>
  </si>
  <si>
    <t>ITM Power (2017): Scaling Electrolysis to 100 MW</t>
  </si>
  <si>
    <t>All specs (except assumptions)</t>
  </si>
  <si>
    <t>Opus 12 (2017): Opportunities &amp; challenges in electrochemical CO2 utilization using a PEM electrolyzer</t>
  </si>
  <si>
    <t>Yield, lifetime</t>
  </si>
  <si>
    <t xml:space="preserve">Umwelt Bundesamt (2016): Power-to-Liquids Potentials and Perspectives for the Future Supply of Renewable Aviation Fuel.  </t>
  </si>
  <si>
    <t>Equipment specs</t>
  </si>
  <si>
    <t>Yield (working assumption)</t>
  </si>
  <si>
    <t>ExxonMobil (2014): Methanol to Gasoline Technology. An Alternative for Liquid Fuel Production</t>
  </si>
  <si>
    <t>CRI (2015): Power and CO2 emissions to methanol</t>
  </si>
  <si>
    <t>Innovatum (2017): Liquid Wind</t>
  </si>
  <si>
    <t>CHP vs el. Plant</t>
  </si>
  <si>
    <t>If all of this CO is used to generate electricity with an efficiency of</t>
  </si>
  <si>
    <t>That means</t>
  </si>
  <si>
    <t>TWh</t>
  </si>
  <si>
    <t>Electricity is generated</t>
  </si>
  <si>
    <t>Which according to current market prices costs</t>
  </si>
  <si>
    <t>Electricity based</t>
  </si>
  <si>
    <t>LCA</t>
  </si>
  <si>
    <t>11 CO2 + 11 H2 -&gt; 11 CO + 11 H2O</t>
  </si>
  <si>
    <t>PEM Electrolysis</t>
  </si>
  <si>
    <t>Siemens</t>
  </si>
  <si>
    <t>OPEX</t>
  </si>
  <si>
    <t>Sorbent</t>
  </si>
  <si>
    <t>Capital</t>
  </si>
  <si>
    <t>DAC [1 MT scale]</t>
  </si>
  <si>
    <t>km</t>
  </si>
  <si>
    <t>CO and CO2 availability from BOF</t>
  </si>
  <si>
    <t>volumetric ratio BFG:BOF</t>
  </si>
  <si>
    <t>approx.</t>
  </si>
  <si>
    <t>Total mol in BFG</t>
  </si>
  <si>
    <t>So total mol in BOFG</t>
  </si>
  <si>
    <t>Of which</t>
  </si>
  <si>
    <t>Hence avoidance of</t>
  </si>
  <si>
    <t>Oxygen demand</t>
  </si>
  <si>
    <t>Fe</t>
  </si>
  <si>
    <t>Tmol Fe</t>
  </si>
  <si>
    <t>Tmol O2</t>
  </si>
  <si>
    <t>Mt O2/y</t>
  </si>
  <si>
    <t>This is done via air with 30% oxygen, so 10% has been added</t>
  </si>
  <si>
    <t>Mt O2</t>
  </si>
  <si>
    <t>Yearly production</t>
  </si>
  <si>
    <t>Mt Fe</t>
  </si>
  <si>
    <t>Costs</t>
  </si>
  <si>
    <t>Costs (except catalyst cost)</t>
  </si>
  <si>
    <t>All</t>
  </si>
  <si>
    <t>Fe2O3 + 3 CO -&gt; 2 Fe + 3 CO2</t>
  </si>
  <si>
    <t>Produced via 2 C + O2 -&gt; 2 CO, so need</t>
  </si>
  <si>
    <t>This is 2/3 of oxygen consumption; true oxygen consumption therefore is</t>
  </si>
  <si>
    <t>is 1/3 of total consumption, so total consumption is</t>
  </si>
  <si>
    <t>2 C + O2 -&gt; 2 CO</t>
  </si>
  <si>
    <t>C + O2 -&gt; CO2</t>
  </si>
  <si>
    <t>assuming 100% reactivity</t>
  </si>
  <si>
    <t>2 H2O -&gt; 2H2 + O2</t>
  </si>
  <si>
    <t>m3/ t steel</t>
  </si>
  <si>
    <t>kg O2/t steel</t>
  </si>
  <si>
    <t>So for Tata</t>
  </si>
  <si>
    <t>MT O2</t>
  </si>
  <si>
    <t>Is 1/3 of total consumption, i.e. total is</t>
  </si>
  <si>
    <t>Oxygen production</t>
  </si>
  <si>
    <t>€/t O2/y</t>
  </si>
  <si>
    <t>€/t O2</t>
  </si>
  <si>
    <t>Production</t>
  </si>
  <si>
    <t>Elec req</t>
  </si>
  <si>
    <t>Pressure &amp; storage</t>
  </si>
  <si>
    <t>B. Daniels (2002): Transition paths toward CO2 emission reduction in the steel industry</t>
  </si>
  <si>
    <t>Cryogenic air separation</t>
  </si>
  <si>
    <t>Oxygen</t>
  </si>
  <si>
    <t>reduction of iron ore to iron</t>
  </si>
  <si>
    <t>Alternatively, via BOFG</t>
  </si>
  <si>
    <t>Tata: 2/3 of oxygen consumed in O2 enriched air (30% O2 instead of 20%), 1/3 in reduction in steelmaking in BOFG</t>
  </si>
  <si>
    <t>Estimate (incl. reactivity)</t>
  </si>
  <si>
    <t>Tmol CO2 in BFG &amp; BOFG</t>
  </si>
  <si>
    <t>IEA GHG (2013): Iron and Steel CCS Study (Techno-Economics Integrated Steel Mill)</t>
  </si>
  <si>
    <t>L. Hooey et al. (2013): Techno-economic study of an integrated steelworks equipped with oxygen blast furnace and CO2 capture. Energy Procedia 37, 7139 - 7151</t>
  </si>
  <si>
    <t>which is greater than both estimates at 100% efficiency, so possible</t>
  </si>
  <si>
    <t>All specs</t>
  </si>
  <si>
    <t>Emissieregistratie, Tata Sustainability Report</t>
  </si>
  <si>
    <t>Fraction of carbon in BFG</t>
  </si>
  <si>
    <t>Emissions</t>
  </si>
  <si>
    <t>CO &amp; CO2</t>
  </si>
  <si>
    <t>TNO and Universiteit Utrecht (2009): The impacts of CO2 capture technologies in power generation and industry on greenhouse gases emissions and air pollutants in the Netherlands.</t>
  </si>
  <si>
    <t>2 CO + O2 -&gt; 2 CO2</t>
  </si>
  <si>
    <t>CH4 + 2 O2 -&gt; CO2 + 2 H2O</t>
  </si>
  <si>
    <t>M$</t>
  </si>
  <si>
    <t>g CO2/MJ</t>
  </si>
  <si>
    <t>kg CO2/kg kerosene</t>
  </si>
  <si>
    <t>RVO (2005): Nederlandse lijst met energiedragers en standaard CO2 emissie factoren</t>
  </si>
  <si>
    <t>LCA included</t>
  </si>
  <si>
    <t>LCA included (low sulphur)</t>
  </si>
  <si>
    <t>MIT (2016): LCA of current and future ghg emissions from petroleum jet fuel</t>
  </si>
  <si>
    <t xml:space="preserve">IEA </t>
  </si>
  <si>
    <t>Siemens warranty</t>
  </si>
  <si>
    <t>Process</t>
  </si>
  <si>
    <t>Availability</t>
  </si>
  <si>
    <t>O2 prod.</t>
  </si>
  <si>
    <t>Shares (partially) and cost estimate</t>
  </si>
  <si>
    <t>Yield and energy requirements</t>
  </si>
  <si>
    <t>Energy requirements</t>
  </si>
  <si>
    <t>Availability &amp; Consumption of Tata Steel's Gases</t>
  </si>
  <si>
    <t>in the BFG and BOFG (see right)</t>
  </si>
  <si>
    <t xml:space="preserve">CO </t>
  </si>
  <si>
    <t>VPSA Tech (2015): The Combustion Economy of Purifying CO from Blast Furnace Gas by Pressure Swing Adsorption</t>
  </si>
  <si>
    <t>CE Delft (2012): Energy savings in the production chains of Tronox</t>
  </si>
  <si>
    <t>O2 cons.</t>
  </si>
  <si>
    <t>O2 consumption per t steel</t>
  </si>
  <si>
    <t>Yield/Conversion</t>
  </si>
  <si>
    <t>Sunfire website</t>
  </si>
  <si>
    <t>VTT (2013): Liquid transportation fuels via large-scale fluidised-bed gasification of lignocellulosic biomass</t>
  </si>
  <si>
    <t>G. Liu &amp; E.D. Larson (2014): Gasoline from Coal via DME with Electricity Co-Production and CO2 Capture. Energy Procedia, 63, 7367-7378</t>
  </si>
  <si>
    <t>Fossil kerosene LCA</t>
  </si>
  <si>
    <t>(Umwelt Bundesamt)</t>
  </si>
  <si>
    <t>(MIT)</t>
  </si>
  <si>
    <t>CO2 emissions</t>
  </si>
  <si>
    <t>See above</t>
  </si>
  <si>
    <t>Comparison</t>
  </si>
  <si>
    <t>IEA (2012): CO2 abatement in the iron and steel industry.</t>
  </si>
  <si>
    <t>(L. Hooey et al., IEA GHG)</t>
  </si>
  <si>
    <t>(B. Daniels)</t>
  </si>
  <si>
    <t>(VPSA Tech)</t>
  </si>
  <si>
    <t>(CE Delft, COSORB)</t>
  </si>
  <si>
    <t xml:space="preserve">(VPSA Tech, CE Delft, COSORB) </t>
  </si>
  <si>
    <t>0.2-0.5 kwh/m3</t>
  </si>
  <si>
    <t>Flows</t>
  </si>
  <si>
    <t>W. Uribe-Soto et al. (2017): A review of thermochemical processes and technologies to use steelworks off-gases. Renewable and Sustainable Energy Reviews 74, 809-823</t>
  </si>
  <si>
    <t>Source: W. Uribe-Soto et al.</t>
  </si>
  <si>
    <t>Costs O2</t>
  </si>
  <si>
    <t>JRC (2016): Techno-economic and environmental evaluation of CO2 utilisation for fuel production. Synthesis of methanol and formic acid.</t>
  </si>
  <si>
    <t>(JRC)</t>
  </si>
  <si>
    <t>5 M€/2.5GW/km</t>
  </si>
  <si>
    <t>Cyrogenic air separation</t>
  </si>
  <si>
    <t>Total incl. fin.</t>
  </si>
  <si>
    <t>Interest</t>
  </si>
  <si>
    <t>Interest period</t>
  </si>
  <si>
    <t>Investment incl int.</t>
  </si>
  <si>
    <t>recycled</t>
  </si>
  <si>
    <t>Mt/day</t>
  </si>
  <si>
    <t>Density kerosene</t>
  </si>
  <si>
    <t>kg/l</t>
  </si>
  <si>
    <t>Mbbl/day</t>
  </si>
  <si>
    <t>Opex</t>
  </si>
  <si>
    <t>CAPEX &amp; OPEX</t>
  </si>
  <si>
    <t>$/t kerosene</t>
  </si>
  <si>
    <t>NETL</t>
  </si>
  <si>
    <t>Mwe here (scaled)</t>
  </si>
  <si>
    <t>Costs, electricity requirements</t>
  </si>
  <si>
    <t>NETL (2013): Analysis of Natural Gas-to Liquid Transportation Fuels via Fischer-Tropsch</t>
  </si>
  <si>
    <t>Sources</t>
  </si>
  <si>
    <t>FT 32.2 MW</t>
  </si>
  <si>
    <t>B$</t>
  </si>
  <si>
    <t>B$/y</t>
  </si>
  <si>
    <t>For 50k bbl FT products/day</t>
  </si>
  <si>
    <t>Electricity consumption</t>
  </si>
  <si>
    <t>Investment, O&amp;M</t>
  </si>
  <si>
    <t>Oxford Energy Institute (2013): Gas to Liquids. Historical Developments and Future Prospects</t>
  </si>
  <si>
    <t>Modelled as gasoline</t>
  </si>
  <si>
    <t>Mbl/day</t>
  </si>
  <si>
    <t>Liu et al.</t>
  </si>
  <si>
    <t>VTT</t>
  </si>
  <si>
    <t>Storage available</t>
  </si>
  <si>
    <t>Gas fields</t>
  </si>
  <si>
    <t>Saline formation</t>
  </si>
  <si>
    <t>low risk</t>
  </si>
  <si>
    <t>moderate risk</t>
  </si>
  <si>
    <t>high risk</t>
  </si>
  <si>
    <t>medium uncertainty</t>
  </si>
  <si>
    <t>high uncertainty</t>
  </si>
  <si>
    <t>Min. development</t>
  </si>
  <si>
    <t>&gt;5 yrs</t>
  </si>
  <si>
    <t>Fraction of med uncertainty field that can be used</t>
  </si>
  <si>
    <t>Fraction of high uncertainty field that can be used</t>
  </si>
  <si>
    <t>Gas field capacity</t>
  </si>
  <si>
    <t>Saline formation capacity</t>
  </si>
  <si>
    <t>Full in 50 years with just Tata's emissions if constant</t>
  </si>
  <si>
    <t>Total capacity</t>
  </si>
  <si>
    <t>Emissions Tata</t>
  </si>
  <si>
    <t>CAPEX</t>
  </si>
  <si>
    <t>Direct line Ijmuiden to K7/K8(/K10)</t>
  </si>
  <si>
    <t>DHV (2009): Potential for CO2 storage in depleted gas fields at the Dutch Continental Shelf</t>
  </si>
  <si>
    <t>CAPEX trunk lines</t>
  </si>
  <si>
    <t>20 satellites + 4 l platofrm</t>
  </si>
  <si>
    <t>Capex/t</t>
  </si>
  <si>
    <t>Opex/t</t>
  </si>
  <si>
    <t>Total cost (transport &amp; storage)</t>
  </si>
  <si>
    <t>Research</t>
  </si>
  <si>
    <t>TNO</t>
  </si>
  <si>
    <t>CO2 storage</t>
  </si>
  <si>
    <t xml:space="preserve">TNO (2012): Independent assessment of high-capacity
offshore CO2 storage options </t>
  </si>
  <si>
    <t>DHV</t>
  </si>
  <si>
    <t>Sum incl DAC</t>
  </si>
  <si>
    <t>CO2 intensity of kerosene for FT route (coproducts taken into account)</t>
  </si>
  <si>
    <t>Fossil ref (FT)</t>
  </si>
  <si>
    <t>Avoided CO2 cost</t>
  </si>
  <si>
    <t>Surplus cost</t>
  </si>
  <si>
    <t>kg/Nm3</t>
  </si>
  <si>
    <t>Density</t>
  </si>
  <si>
    <t>F.D. Doty et al. (2010): Toward Efficient Reduction of CO2 to CO for Renewable Fuels. ASME 2010 4th International Conference on Energy Sustainability, 1, 775-784.</t>
  </si>
  <si>
    <t>capture+compression 20 bar</t>
  </si>
  <si>
    <t>bar</t>
  </si>
  <si>
    <t>20 bar</t>
  </si>
  <si>
    <t>Lifetime stack</t>
  </si>
  <si>
    <t>Lifetime rest</t>
  </si>
  <si>
    <t>kwh/t CO</t>
  </si>
  <si>
    <t>compression</t>
  </si>
  <si>
    <t>for compression to 20 bar</t>
  </si>
  <si>
    <t>B. Anicic et al. (2014): Comparison between two methods of methanol production from carbon dioxide. Energy 77, 279-289</t>
  </si>
  <si>
    <t>OCI</t>
  </si>
  <si>
    <t>C2H5OH</t>
  </si>
  <si>
    <t>Brent crude</t>
  </si>
  <si>
    <t>$/US bbl</t>
  </si>
  <si>
    <t>Mm3</t>
  </si>
  <si>
    <t xml:space="preserve">assumed density of </t>
  </si>
  <si>
    <t>H2 storage</t>
  </si>
  <si>
    <t>Climeworks</t>
  </si>
  <si>
    <t>1600, but waste heat used</t>
  </si>
  <si>
    <t>Heat req.</t>
  </si>
  <si>
    <t>Investment costs, stack fraction</t>
  </si>
  <si>
    <t>Based on a presentation by Siemens at the Oil and Gas Reinvented Conference, held on 9/11/2017 at the Shell Technology Centre Amsterdam</t>
  </si>
  <si>
    <t>Refining cost</t>
  </si>
  <si>
    <t>World Bank 2030 projection</t>
  </si>
  <si>
    <t>€/l</t>
  </si>
  <si>
    <t>Shell</t>
  </si>
  <si>
    <t>Fossil kero</t>
  </si>
  <si>
    <t>Refining costs</t>
  </si>
  <si>
    <t>Shell in Taxi Magazine (2014): Hoe komt de brandstofprijs tot stand</t>
  </si>
  <si>
    <t>Brent crude price in 2030</t>
  </si>
  <si>
    <t>World Bank (April 2017): World Bank Commodities Price Forecast</t>
  </si>
  <si>
    <t>Count avoided storage cost CO2</t>
  </si>
  <si>
    <t>[Tick 1 to activate, 0 to de-activate]</t>
  </si>
  <si>
    <t>Count avoided grid expansion</t>
  </si>
  <si>
    <t>Sell O2 (produced in electrolysis)</t>
  </si>
  <si>
    <t xml:space="preserve">  (double, Gert van der Lee)</t>
  </si>
  <si>
    <t>IJmuiden - Belgium</t>
  </si>
  <si>
    <t>5% loan over 10 y over total</t>
  </si>
  <si>
    <t>Mt diesel</t>
  </si>
  <si>
    <t>20% overcapacity</t>
  </si>
  <si>
    <t>ITM (0.77-0.86)</t>
  </si>
  <si>
    <t>incl compression to 20 bar</t>
  </si>
  <si>
    <t>Energy content kerosene</t>
  </si>
  <si>
    <t>Fraction of fields that can actually be used</t>
  </si>
  <si>
    <t>Storage costs: transport and storage to field K7/K8(/K10)</t>
  </si>
  <si>
    <t>Storage availability</t>
  </si>
  <si>
    <t>storage capacity saline</t>
  </si>
  <si>
    <t>Full in (if emissions constant)</t>
  </si>
  <si>
    <t>Compression &amp; storage outside scope as same will have to be done for oxygen produced through electrolysis</t>
  </si>
  <si>
    <t>kt methanol/day here</t>
  </si>
  <si>
    <t>Levelised capture costs are 100$/t CO2</t>
  </si>
  <si>
    <t>1/3 is CAPEX &amp; charge, 2/3 OPEX (incl. energy)</t>
  </si>
  <si>
    <t>Climeworks $30-50/t</t>
  </si>
  <si>
    <t>Included in OPEX</t>
  </si>
  <si>
    <t>Climeworks [500-650]</t>
  </si>
  <si>
    <t>Fraction for stack</t>
  </si>
  <si>
    <t>Levelised investment</t>
  </si>
  <si>
    <t>Total Lifetime</t>
  </si>
  <si>
    <t>Water Electrolysis</t>
  </si>
  <si>
    <t>Reverse Water Gas Shift  (RWGS)</t>
  </si>
  <si>
    <t>Shares</t>
  </si>
  <si>
    <t>FT Synthesis and Upgrading</t>
  </si>
  <si>
    <t>(using NG)</t>
  </si>
  <si>
    <t>Revenue Options</t>
  </si>
  <si>
    <t>Annualised Results</t>
  </si>
  <si>
    <t>Parameters for Process Steps</t>
  </si>
  <si>
    <t>At a cost of</t>
  </si>
  <si>
    <t>So</t>
  </si>
  <si>
    <t>For RWGS, would need</t>
  </si>
  <si>
    <t>Fossil fuel LCA</t>
  </si>
  <si>
    <t>Fossil diesel LCA</t>
  </si>
  <si>
    <t>MeOH Synthesis</t>
  </si>
  <si>
    <t>Fossil reference (diesel)</t>
  </si>
  <si>
    <t>Fossil reference (kerosene)</t>
  </si>
  <si>
    <t>MIT (2017): Scenario based lifecycle analysis of greenhouse gas emissions from petroleum-derived transportation fuels in 2050</t>
  </si>
  <si>
    <t>LCA emissions fossil</t>
  </si>
  <si>
    <t>Chain emissions</t>
  </si>
  <si>
    <t>Obtained from presentation given by Climeworks at the National Academy of Sciences Direct Air Capture Workshop on 24/10/2017, held in Irvine, CA, USA and private discussion</t>
  </si>
  <si>
    <t>A gas mixture of nitrogen, hydrogen and very small fractions of other compounds</t>
  </si>
  <si>
    <t>The quantity of H2 left is</t>
  </si>
  <si>
    <t>CO2 Storage Costs</t>
  </si>
  <si>
    <t>Overview</t>
  </si>
  <si>
    <t>Synthetic Kerosene Production Model</t>
  </si>
  <si>
    <t>Tab</t>
  </si>
  <si>
    <t>Evaluate synthetic diesel at 1.2 times fossil diesel price</t>
  </si>
  <si>
    <t>See 'Tata_gases'</t>
  </si>
  <si>
    <t>Extra costs for PtL over fossil kerosene (&amp;diesel)</t>
  </si>
  <si>
    <t>Emissions avoided</t>
  </si>
  <si>
    <t>Commodity Prices</t>
  </si>
  <si>
    <t>Reverse Water Gas Shift (RWGS)</t>
  </si>
  <si>
    <t>PEM-CO2 Electrolysis</t>
  </si>
  <si>
    <t>Methanol Synthesis</t>
  </si>
  <si>
    <t>Methanol Upgrade</t>
  </si>
  <si>
    <t>Revenues</t>
  </si>
  <si>
    <t>CO2 Capture</t>
  </si>
  <si>
    <t>CO Capture &amp; Conversion</t>
  </si>
  <si>
    <t>H2 production</t>
  </si>
  <si>
    <t>Avoided CO2 Storage</t>
  </si>
  <si>
    <t>Avoided Grid Expansion</t>
  </si>
  <si>
    <t>Net Result</t>
  </si>
  <si>
    <t>Electricity assumptions</t>
  </si>
  <si>
    <t>flow rate</t>
  </si>
  <si>
    <t>flow rate here</t>
  </si>
  <si>
    <t>Assumption: linear scaling of investments with flow rate</t>
  </si>
  <si>
    <t>M€ for 5k MeOH/d (Anicic)</t>
  </si>
  <si>
    <t>incl. H2</t>
  </si>
  <si>
    <t xml:space="preserve"> </t>
  </si>
  <si>
    <t>Investments (estimates)</t>
  </si>
  <si>
    <t>Not necessary for selexol</t>
  </si>
  <si>
    <t>Concentrated CO2 capture via physical adsorption</t>
  </si>
  <si>
    <t>Therm. Min</t>
  </si>
  <si>
    <t>kWh/kg CO</t>
  </si>
  <si>
    <t>CO2 intensity of kerosene (and diesel)</t>
  </si>
  <si>
    <t>CO Compensation</t>
  </si>
  <si>
    <t>Resulting Product Prices</t>
  </si>
  <si>
    <t>electricity production-based</t>
  </si>
  <si>
    <t>B$, scaled</t>
  </si>
  <si>
    <t xml:space="preserve">NETL </t>
  </si>
  <si>
    <t>(w/o syngas prod.)</t>
  </si>
  <si>
    <t>Total H2 req</t>
  </si>
  <si>
    <t>CO2_emissions</t>
  </si>
  <si>
    <t>Tata_gases</t>
  </si>
  <si>
    <t>CO2_storage_costs</t>
  </si>
  <si>
    <t>This is the tab you are currently at, it introduces the model and its structure</t>
  </si>
  <si>
    <t>Here CO2 emissions of the process selected in the previous tab are calculated</t>
  </si>
  <si>
    <t>Here carbon capture potential and cost from Tata Steel's  gases are determined</t>
  </si>
  <si>
    <t>This tab features a brief calculation for avoided carbon storage costs</t>
  </si>
  <si>
    <t>This tab lists all sources used in the previous tabs, per step and parameter</t>
  </si>
  <si>
    <t>N.b. these are average prices</t>
  </si>
  <si>
    <t xml:space="preserve">Price ratio </t>
  </si>
  <si>
    <t xml:space="preserve">€/l </t>
  </si>
  <si>
    <t>price excl. carbon pricing &amp; taxes</t>
  </si>
  <si>
    <t xml:space="preserve">$/US bbl </t>
  </si>
  <si>
    <t>excl. carbon pricing &amp; taxes</t>
  </si>
  <si>
    <t>price here</t>
  </si>
  <si>
    <t>breakeven price</t>
  </si>
  <si>
    <t xml:space="preserve">€/t </t>
  </si>
  <si>
    <t>CO2 saving for PtL over fossil kerosene (&amp;diesel)</t>
  </si>
  <si>
    <t>Efficiency and yield</t>
  </si>
  <si>
    <t xml:space="preserve">Mton CO2-eq </t>
  </si>
  <si>
    <t>(Emissieregistratie / Tata Steel sustainability report)</t>
  </si>
  <si>
    <t xml:space="preserve">fraction of carbon in BFG </t>
  </si>
  <si>
    <t>(TNO,UU)</t>
  </si>
  <si>
    <t>First CO2 is captured via chemical or physical (here) adsorption; next, CO is captured via the COSORB process (COSORB II and … newer versions)</t>
  </si>
  <si>
    <t>source: Cock Pietersen (Tata Steel)</t>
  </si>
  <si>
    <t>Synthetic Kerosene Production</t>
  </si>
  <si>
    <t>scaled</t>
  </si>
  <si>
    <t xml:space="preserve">assumed extra 20% for MtK </t>
  </si>
  <si>
    <t>H2 required</t>
  </si>
  <si>
    <t>Fischer Tropsch (FT) Synthesis and Upgrading</t>
  </si>
  <si>
    <t>Structure</t>
  </si>
  <si>
    <t>The main tab. Here you can modify input values and see all results directly</t>
  </si>
  <si>
    <t xml:space="preserve">This model and its (open) data have been supplied and/or validated by several parties (see report) and are correct at this date. </t>
  </si>
  <si>
    <t>ETS price</t>
  </si>
  <si>
    <t>Crude incl ETS</t>
  </si>
  <si>
    <t>Version 1.1</t>
  </si>
  <si>
    <t>Date: 30/01/2018</t>
  </si>
  <si>
    <t>o&amp;m</t>
  </si>
  <si>
    <t>o</t>
  </si>
  <si>
    <t>It accompanies the report "Carbon-neutral Aviation with Current Engine Technology" and is best understood in conjunction with it.</t>
  </si>
  <si>
    <t xml:space="preserve">This Excel file is Quintel Intelligence and Kalavasta's Synthetic Kerosene Production Model with reference year 2030. </t>
  </si>
  <si>
    <t>If this model is obtained through any party other than Quintel or Kalavasta, Quintel and Kalavasta are not responsible for its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</si>
</sst>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0.000"/>
    <numFmt numFmtId="165" formatCode="#,##0.00_ ;[Red]\-#,##0.00\ "/>
  </numFmts>
  <fonts count="19" x14ac:knownFonts="1">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b/>
      <sz val="16"/>
      <color theme="1"/>
      <name val="Calibri"/>
      <family val="2"/>
      <scheme val="minor"/>
    </font>
    <font>
      <b/>
      <sz val="16"/>
      <color rgb="FF000000"/>
      <name val="Calibri"/>
      <family val="2"/>
      <scheme val="minor"/>
    </font>
    <font>
      <sz val="12"/>
      <color rgb="FF000000"/>
      <name val="Calibri"/>
      <family val="2"/>
      <scheme val="minor"/>
    </font>
    <font>
      <b/>
      <sz val="12"/>
      <color rgb="FF000000"/>
      <name val="Calibri"/>
      <family val="2"/>
      <scheme val="minor"/>
    </font>
    <font>
      <b/>
      <sz val="20"/>
      <color theme="1"/>
      <name val="Calibri"/>
      <family val="2"/>
      <scheme val="minor"/>
    </font>
    <font>
      <b/>
      <sz val="12"/>
      <color theme="0" tint="-0.14999847407452621"/>
      <name val="Calibri"/>
      <family val="2"/>
      <scheme val="minor"/>
    </font>
    <font>
      <sz val="12"/>
      <color theme="0" tint="-0.14999847407452621"/>
      <name val="Calibri"/>
      <family val="2"/>
      <scheme val="minor"/>
    </font>
    <font>
      <sz val="12"/>
      <color theme="0"/>
      <name val="Calibri"/>
      <family val="2"/>
      <scheme val="minor"/>
    </font>
    <font>
      <b/>
      <sz val="14"/>
      <color theme="1"/>
      <name val="Calibri"/>
      <family val="2"/>
      <scheme val="minor"/>
    </font>
    <font>
      <b/>
      <sz val="22"/>
      <color theme="1"/>
      <name val="Calibri"/>
      <family val="2"/>
      <scheme val="minor"/>
    </font>
    <font>
      <b/>
      <sz val="12"/>
      <color theme="0"/>
      <name val="Calibri"/>
      <family val="2"/>
      <scheme val="minor"/>
    </font>
    <font>
      <b/>
      <sz val="16"/>
      <color theme="0"/>
      <name val="Calibri"/>
      <family val="2"/>
      <scheme val="minor"/>
    </font>
    <font>
      <sz val="8"/>
      <name val="Calibri"/>
      <family val="2"/>
      <scheme val="minor"/>
    </font>
  </fonts>
  <fills count="20">
    <fill>
      <patternFill patternType="none"/>
    </fill>
    <fill>
      <patternFill patternType="gray125"/>
    </fill>
    <fill>
      <patternFill patternType="solid">
        <fgColor indexed="65"/>
        <bgColor indexed="64"/>
      </patternFill>
    </fill>
    <fill>
      <patternFill patternType="solid">
        <fgColor indexed="65"/>
        <bgColor rgb="FF000000"/>
      </patternFill>
    </fill>
    <fill>
      <patternFill patternType="solid">
        <fgColor indexed="65"/>
        <bgColor theme="0"/>
      </patternFill>
    </fill>
    <fill>
      <patternFill patternType="solid">
        <fgColor theme="1" tint="4.9989318521683403E-2"/>
        <bgColor indexed="64"/>
      </patternFill>
    </fill>
    <fill>
      <patternFill patternType="solid">
        <fgColor theme="2"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bgColor indexed="64"/>
      </patternFill>
    </fill>
    <fill>
      <patternFill patternType="solid">
        <fgColor theme="9" tint="-0.499984740745262"/>
        <bgColor indexed="64"/>
      </patternFill>
    </fill>
    <fill>
      <patternFill patternType="solid">
        <fgColor theme="4" tint="-0.499984740745262"/>
        <bgColor rgb="FF000000"/>
      </patternFill>
    </fill>
    <fill>
      <patternFill patternType="solid">
        <fgColor theme="5" tint="-0.499984740745262"/>
        <bgColor rgb="FF000000"/>
      </patternFill>
    </fill>
    <fill>
      <patternFill patternType="solid">
        <fgColor theme="0"/>
        <bgColor indexed="64"/>
      </patternFill>
    </fill>
    <fill>
      <patternFill patternType="solid">
        <fgColor theme="7"/>
        <bgColor indexed="64"/>
      </patternFill>
    </fill>
    <fill>
      <patternFill patternType="solid">
        <fgColor rgb="FF92D050"/>
        <bgColor indexed="64"/>
      </patternFill>
    </fill>
    <fill>
      <patternFill patternType="solid">
        <fgColor theme="8" tint="-0.249977111117893"/>
        <bgColor indexed="64"/>
      </patternFill>
    </fill>
    <fill>
      <patternFill patternType="solid">
        <fgColor theme="7"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3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145">
    <xf numFmtId="0" fontId="0" fillId="0" borderId="0" xfId="0"/>
    <xf numFmtId="0" fontId="0" fillId="2" borderId="0" xfId="0" applyFill="1" applyBorder="1"/>
    <xf numFmtId="0" fontId="2" fillId="2" borderId="0" xfId="0" applyFont="1" applyFill="1" applyBorder="1"/>
    <xf numFmtId="0" fontId="0" fillId="2" borderId="2" xfId="0" applyFill="1" applyBorder="1"/>
    <xf numFmtId="0" fontId="0" fillId="2" borderId="3" xfId="0" applyFill="1" applyBorder="1"/>
    <xf numFmtId="0" fontId="0" fillId="2" borderId="4" xfId="0" applyFill="1" applyBorder="1"/>
    <xf numFmtId="0" fontId="2" fillId="2" borderId="5" xfId="0" applyFont="1" applyFill="1" applyBorder="1"/>
    <xf numFmtId="0" fontId="0" fillId="2" borderId="6" xfId="0" applyFill="1" applyBorder="1"/>
    <xf numFmtId="0" fontId="0" fillId="2" borderId="5" xfId="0" applyFill="1" applyBorder="1"/>
    <xf numFmtId="0" fontId="0" fillId="2" borderId="7" xfId="0" applyFill="1" applyBorder="1"/>
    <xf numFmtId="0" fontId="0" fillId="2" borderId="8" xfId="0" applyFill="1" applyBorder="1"/>
    <xf numFmtId="0" fontId="0" fillId="2" borderId="9" xfId="0" applyFill="1" applyBorder="1"/>
    <xf numFmtId="0" fontId="0" fillId="2" borderId="1" xfId="0" applyFill="1" applyBorder="1"/>
    <xf numFmtId="0" fontId="0" fillId="2" borderId="0" xfId="0" applyFill="1"/>
    <xf numFmtId="0" fontId="5" fillId="2" borderId="0" xfId="0" applyFont="1" applyFill="1" applyBorder="1"/>
    <xf numFmtId="0" fontId="6" fillId="2" borderId="0" xfId="0" applyFont="1" applyFill="1" applyBorder="1"/>
    <xf numFmtId="0" fontId="7" fillId="3" borderId="0" xfId="0" applyFont="1" applyFill="1"/>
    <xf numFmtId="0" fontId="2" fillId="2" borderId="3" xfId="0" applyFont="1" applyFill="1" applyBorder="1"/>
    <xf numFmtId="0" fontId="2" fillId="2" borderId="9" xfId="0" applyFont="1" applyFill="1" applyBorder="1"/>
    <xf numFmtId="0" fontId="8" fillId="3" borderId="0" xfId="0" applyFont="1" applyFill="1"/>
    <xf numFmtId="0" fontId="8" fillId="3" borderId="6" xfId="0" applyFont="1" applyFill="1" applyBorder="1"/>
    <xf numFmtId="0" fontId="9" fillId="3" borderId="0" xfId="0" applyFont="1" applyFill="1"/>
    <xf numFmtId="0" fontId="0" fillId="2" borderId="0" xfId="0" applyFont="1" applyFill="1" applyBorder="1"/>
    <xf numFmtId="0" fontId="2" fillId="2" borderId="0" xfId="0" applyFont="1" applyFill="1"/>
    <xf numFmtId="0" fontId="1" fillId="2" borderId="1" xfId="0" applyFont="1" applyFill="1" applyBorder="1"/>
    <xf numFmtId="0" fontId="10" fillId="2" borderId="0" xfId="0" applyFont="1" applyFill="1" applyBorder="1"/>
    <xf numFmtId="0" fontId="0" fillId="4" borderId="0" xfId="0" applyFill="1" applyBorder="1"/>
    <xf numFmtId="2" fontId="0" fillId="2" borderId="0" xfId="0" applyNumberFormat="1" applyFill="1" applyBorder="1"/>
    <xf numFmtId="2" fontId="1" fillId="2" borderId="0" xfId="0" applyNumberFormat="1" applyFont="1" applyFill="1" applyBorder="1"/>
    <xf numFmtId="2" fontId="2" fillId="2" borderId="0" xfId="0" applyNumberFormat="1" applyFont="1" applyFill="1" applyBorder="1"/>
    <xf numFmtId="2" fontId="8" fillId="3" borderId="0" xfId="0" applyNumberFormat="1" applyFont="1" applyFill="1"/>
    <xf numFmtId="2" fontId="6" fillId="2" borderId="0" xfId="0" applyNumberFormat="1" applyFont="1" applyFill="1" applyBorder="1"/>
    <xf numFmtId="2" fontId="0" fillId="2" borderId="2" xfId="0" applyNumberFormat="1" applyFill="1" applyBorder="1"/>
    <xf numFmtId="2" fontId="0" fillId="2" borderId="3" xfId="0" applyNumberFormat="1" applyFill="1" applyBorder="1"/>
    <xf numFmtId="2" fontId="0" fillId="2" borderId="4" xfId="0" applyNumberFormat="1" applyFill="1" applyBorder="1"/>
    <xf numFmtId="2" fontId="0" fillId="2" borderId="0" xfId="0" applyNumberFormat="1" applyFont="1" applyFill="1" applyBorder="1"/>
    <xf numFmtId="2" fontId="0" fillId="2" borderId="5" xfId="0" applyNumberFormat="1" applyFill="1" applyBorder="1"/>
    <xf numFmtId="2" fontId="0" fillId="2" borderId="6" xfId="0" applyNumberFormat="1" applyFill="1" applyBorder="1"/>
    <xf numFmtId="2" fontId="0" fillId="2" borderId="7" xfId="0" applyNumberFormat="1" applyFill="1" applyBorder="1"/>
    <xf numFmtId="2" fontId="2" fillId="2" borderId="8" xfId="0" applyNumberFormat="1" applyFont="1" applyFill="1" applyBorder="1"/>
    <xf numFmtId="2" fontId="0" fillId="2" borderId="8" xfId="0" applyNumberFormat="1" applyFill="1" applyBorder="1"/>
    <xf numFmtId="2" fontId="0" fillId="2" borderId="9" xfId="0" applyNumberFormat="1" applyFill="1" applyBorder="1"/>
    <xf numFmtId="2" fontId="0" fillId="2" borderId="1" xfId="0" applyNumberFormat="1" applyFill="1" applyBorder="1"/>
    <xf numFmtId="2" fontId="0" fillId="2" borderId="0" xfId="0" applyNumberFormat="1" applyFill="1"/>
    <xf numFmtId="2" fontId="2" fillId="2" borderId="0" xfId="0" applyNumberFormat="1" applyFont="1" applyFill="1"/>
    <xf numFmtId="0" fontId="0" fillId="2" borderId="1" xfId="0" applyNumberFormat="1" applyFill="1" applyBorder="1"/>
    <xf numFmtId="0" fontId="0" fillId="2" borderId="0" xfId="0" applyFill="1" applyAlignment="1"/>
    <xf numFmtId="0" fontId="3" fillId="2" borderId="0" xfId="23" applyFill="1"/>
    <xf numFmtId="0" fontId="6" fillId="2" borderId="0" xfId="0" applyFont="1" applyFill="1"/>
    <xf numFmtId="0" fontId="0" fillId="2" borderId="4" xfId="0" applyFont="1" applyFill="1" applyBorder="1"/>
    <xf numFmtId="0" fontId="0" fillId="2" borderId="6" xfId="0" applyFont="1" applyFill="1" applyBorder="1"/>
    <xf numFmtId="0" fontId="0" fillId="2" borderId="9" xfId="0" applyFont="1" applyFill="1" applyBorder="1"/>
    <xf numFmtId="0" fontId="2" fillId="2" borderId="10" xfId="0" applyFont="1" applyFill="1" applyBorder="1"/>
    <xf numFmtId="0" fontId="2" fillId="2" borderId="11" xfId="0" applyFont="1" applyFill="1" applyBorder="1"/>
    <xf numFmtId="0" fontId="2" fillId="2" borderId="12" xfId="0" applyFont="1" applyFill="1" applyBorder="1"/>
    <xf numFmtId="0" fontId="8" fillId="3" borderId="1" xfId="0" applyFont="1" applyFill="1" applyBorder="1"/>
    <xf numFmtId="164" fontId="0" fillId="2" borderId="0" xfId="0" applyNumberFormat="1" applyFill="1" applyBorder="1"/>
    <xf numFmtId="0" fontId="0" fillId="2" borderId="12" xfId="0" applyFill="1" applyBorder="1"/>
    <xf numFmtId="0" fontId="5" fillId="2" borderId="0" xfId="0" applyFont="1" applyFill="1"/>
    <xf numFmtId="0" fontId="10" fillId="2" borderId="0" xfId="0" applyFont="1" applyFill="1"/>
    <xf numFmtId="2" fontId="0" fillId="2" borderId="0" xfId="0" applyNumberFormat="1" applyFont="1" applyFill="1"/>
    <xf numFmtId="0" fontId="8" fillId="3" borderId="0" xfId="0" applyFont="1" applyFill="1" applyBorder="1"/>
    <xf numFmtId="20" fontId="0" fillId="2" borderId="0" xfId="0" applyNumberFormat="1" applyFill="1" applyBorder="1"/>
    <xf numFmtId="44" fontId="0" fillId="2" borderId="0" xfId="0" applyNumberFormat="1" applyFill="1" applyBorder="1"/>
    <xf numFmtId="0" fontId="0" fillId="2" borderId="10" xfId="0" applyFill="1" applyBorder="1"/>
    <xf numFmtId="0" fontId="0" fillId="2" borderId="0" xfId="0" applyNumberFormat="1" applyFill="1" applyBorder="1"/>
    <xf numFmtId="0" fontId="1" fillId="2" borderId="0" xfId="0" applyFont="1" applyFill="1" applyBorder="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2" fontId="11" fillId="9" borderId="0" xfId="0" applyNumberFormat="1" applyFont="1" applyFill="1"/>
    <xf numFmtId="2" fontId="12" fillId="9" borderId="0" xfId="0" applyNumberFormat="1" applyFont="1" applyFill="1"/>
    <xf numFmtId="0" fontId="14" fillId="2" borderId="0" xfId="0" applyFont="1" applyFill="1" applyBorder="1"/>
    <xf numFmtId="0" fontId="8" fillId="3" borderId="2" xfId="0" applyFont="1" applyFill="1" applyBorder="1"/>
    <xf numFmtId="0" fontId="8" fillId="3" borderId="5" xfId="0" applyFont="1" applyFill="1" applyBorder="1"/>
    <xf numFmtId="0" fontId="8" fillId="3" borderId="7" xfId="0" applyFont="1" applyFill="1" applyBorder="1"/>
    <xf numFmtId="0" fontId="0" fillId="2" borderId="0" xfId="0" applyNumberFormat="1" applyFill="1"/>
    <xf numFmtId="0" fontId="0" fillId="2" borderId="0" xfId="0" quotePrefix="1" applyFill="1"/>
    <xf numFmtId="0" fontId="0" fillId="2" borderId="6" xfId="0" applyNumberFormat="1" applyFill="1" applyBorder="1"/>
    <xf numFmtId="0" fontId="0" fillId="2" borderId="8" xfId="0" applyNumberFormat="1" applyFill="1" applyBorder="1"/>
    <xf numFmtId="0" fontId="0" fillId="2" borderId="9" xfId="0" applyNumberFormat="1" applyFill="1" applyBorder="1"/>
    <xf numFmtId="0" fontId="15" fillId="2" borderId="0" xfId="0" applyFont="1" applyFill="1"/>
    <xf numFmtId="20" fontId="0" fillId="2" borderId="0" xfId="0" applyNumberFormat="1" applyFill="1"/>
    <xf numFmtId="2" fontId="0" fillId="0" borderId="0" xfId="0" applyNumberFormat="1" applyFill="1"/>
    <xf numFmtId="2" fontId="13" fillId="5" borderId="0" xfId="0" applyNumberFormat="1" applyFont="1" applyFill="1" applyBorder="1"/>
    <xf numFmtId="0" fontId="0" fillId="0" borderId="0" xfId="0" applyFill="1"/>
    <xf numFmtId="2" fontId="8" fillId="3" borderId="0" xfId="0" applyNumberFormat="1" applyFont="1" applyFill="1" applyBorder="1"/>
    <xf numFmtId="0" fontId="8" fillId="3" borderId="8" xfId="0" applyFont="1" applyFill="1" applyBorder="1"/>
    <xf numFmtId="0" fontId="0" fillId="2" borderId="0" xfId="0" applyFont="1" applyFill="1"/>
    <xf numFmtId="0" fontId="2" fillId="2" borderId="6" xfId="0" applyFont="1" applyFill="1" applyBorder="1"/>
    <xf numFmtId="2" fontId="0" fillId="2" borderId="10" xfId="0" applyNumberFormat="1" applyFill="1" applyBorder="1"/>
    <xf numFmtId="0" fontId="1" fillId="2" borderId="0" xfId="0" applyFont="1" applyFill="1"/>
    <xf numFmtId="0" fontId="14" fillId="2" borderId="0" xfId="0" applyFont="1" applyFill="1"/>
    <xf numFmtId="0" fontId="2" fillId="0" borderId="0" xfId="0" applyFont="1" applyFill="1"/>
    <xf numFmtId="0" fontId="0" fillId="2" borderId="0" xfId="0" applyFill="1" applyAlignment="1">
      <alignment horizontal="right"/>
    </xf>
    <xf numFmtId="0" fontId="0" fillId="2" borderId="11" xfId="0" applyFill="1" applyBorder="1"/>
    <xf numFmtId="9" fontId="0" fillId="2" borderId="0" xfId="0" applyNumberFormat="1" applyFill="1"/>
    <xf numFmtId="165" fontId="0" fillId="2" borderId="0" xfId="0" applyNumberFormat="1" applyFill="1"/>
    <xf numFmtId="0" fontId="8" fillId="2" borderId="5" xfId="0" applyFont="1" applyFill="1" applyBorder="1"/>
    <xf numFmtId="20" fontId="0" fillId="4" borderId="0" xfId="0" applyNumberFormat="1" applyFill="1" applyBorder="1"/>
    <xf numFmtId="0" fontId="0" fillId="2" borderId="0" xfId="0" applyFill="1" applyBorder="1" applyAlignment="1"/>
    <xf numFmtId="2" fontId="0" fillId="4" borderId="0" xfId="0" applyNumberFormat="1" applyFill="1" applyBorder="1"/>
    <xf numFmtId="0" fontId="0" fillId="4" borderId="5" xfId="0" applyFill="1" applyBorder="1"/>
    <xf numFmtId="0" fontId="17" fillId="11" borderId="0" xfId="0" applyFont="1" applyFill="1" applyBorder="1" applyAlignment="1">
      <alignment horizontal="center"/>
    </xf>
    <xf numFmtId="0" fontId="17" fillId="12" borderId="0" xfId="0" applyFont="1" applyFill="1" applyBorder="1" applyAlignment="1">
      <alignment horizontal="center"/>
    </xf>
    <xf numFmtId="0" fontId="17" fillId="6" borderId="0" xfId="0" applyFont="1" applyFill="1" applyBorder="1" applyAlignment="1">
      <alignment horizontal="center"/>
    </xf>
    <xf numFmtId="0" fontId="17" fillId="13" borderId="0" xfId="0" applyFont="1" applyFill="1" applyAlignment="1">
      <alignment horizontal="center"/>
    </xf>
    <xf numFmtId="0" fontId="17" fillId="14" borderId="0" xfId="0" applyFont="1" applyFill="1" applyAlignment="1">
      <alignment horizontal="center"/>
    </xf>
    <xf numFmtId="0" fontId="0" fillId="0" borderId="6" xfId="0" applyFill="1" applyBorder="1"/>
    <xf numFmtId="2" fontId="8" fillId="2" borderId="0" xfId="0" applyNumberFormat="1" applyFont="1" applyFill="1"/>
    <xf numFmtId="2" fontId="0" fillId="0" borderId="1" xfId="0" applyNumberFormat="1" applyFill="1" applyBorder="1"/>
    <xf numFmtId="2" fontId="7" fillId="3" borderId="0" xfId="0" applyNumberFormat="1" applyFont="1" applyFill="1"/>
    <xf numFmtId="2" fontId="0" fillId="0" borderId="1" xfId="0" applyNumberFormat="1" applyFont="1" applyFill="1" applyBorder="1"/>
    <xf numFmtId="2" fontId="13" fillId="11" borderId="0" xfId="0" applyNumberFormat="1" applyFont="1" applyFill="1" applyBorder="1"/>
    <xf numFmtId="2" fontId="16" fillId="11" borderId="0" xfId="0" applyNumberFormat="1" applyFont="1" applyFill="1" applyBorder="1"/>
    <xf numFmtId="2" fontId="0" fillId="2" borderId="1" xfId="0" applyNumberFormat="1" applyFont="1" applyFill="1" applyBorder="1"/>
    <xf numFmtId="0" fontId="0" fillId="15" borderId="0" xfId="0" applyFill="1"/>
    <xf numFmtId="2" fontId="0" fillId="15" borderId="0" xfId="0" applyNumberFormat="1" applyFill="1"/>
    <xf numFmtId="0" fontId="0" fillId="15" borderId="0" xfId="0" applyFill="1" applyBorder="1"/>
    <xf numFmtId="164" fontId="0" fillId="2" borderId="0" xfId="0" applyNumberFormat="1" applyFill="1"/>
    <xf numFmtId="0" fontId="0" fillId="16" borderId="0" xfId="0" applyFont="1" applyFill="1"/>
    <xf numFmtId="0" fontId="0" fillId="17" borderId="0" xfId="0" applyFill="1"/>
    <xf numFmtId="0" fontId="8" fillId="2" borderId="1" xfId="0" applyFont="1" applyFill="1" applyBorder="1"/>
    <xf numFmtId="1" fontId="0" fillId="2" borderId="0" xfId="0" applyNumberFormat="1" applyFill="1"/>
    <xf numFmtId="1" fontId="0" fillId="2" borderId="0" xfId="0" applyNumberFormat="1" applyFill="1" applyBorder="1"/>
    <xf numFmtId="0" fontId="8" fillId="3" borderId="13" xfId="0" applyFont="1" applyFill="1" applyBorder="1"/>
    <xf numFmtId="2" fontId="0" fillId="2" borderId="14" xfId="0" applyNumberFormat="1" applyFill="1" applyBorder="1"/>
    <xf numFmtId="0" fontId="8" fillId="3" borderId="14" xfId="0" applyFont="1" applyFill="1" applyBorder="1"/>
    <xf numFmtId="0" fontId="8" fillId="3" borderId="15" xfId="0" applyFont="1" applyFill="1" applyBorder="1"/>
    <xf numFmtId="0" fontId="8" fillId="3" borderId="16" xfId="0" applyFont="1" applyFill="1" applyBorder="1"/>
    <xf numFmtId="0" fontId="8" fillId="3" borderId="17" xfId="0" applyFont="1" applyFill="1" applyBorder="1"/>
    <xf numFmtId="2" fontId="0" fillId="2" borderId="17" xfId="0" applyNumberFormat="1" applyFill="1" applyBorder="1"/>
    <xf numFmtId="0" fontId="0" fillId="2" borderId="17" xfId="0" applyFill="1" applyBorder="1"/>
    <xf numFmtId="0" fontId="0" fillId="2" borderId="16" xfId="0" applyFill="1" applyBorder="1"/>
    <xf numFmtId="0" fontId="8" fillId="3" borderId="18" xfId="0" applyFont="1" applyFill="1" applyBorder="1"/>
    <xf numFmtId="0" fontId="0" fillId="2" borderId="19" xfId="0" applyFill="1" applyBorder="1"/>
    <xf numFmtId="2" fontId="0" fillId="2" borderId="19" xfId="0" applyNumberFormat="1" applyFill="1" applyBorder="1"/>
    <xf numFmtId="2" fontId="0" fillId="2" borderId="20" xfId="0" applyNumberFormat="1" applyFill="1" applyBorder="1"/>
    <xf numFmtId="0" fontId="0" fillId="18" borderId="0" xfId="0" applyFill="1"/>
    <xf numFmtId="0" fontId="0" fillId="19" borderId="0" xfId="0" applyFill="1"/>
    <xf numFmtId="20" fontId="0" fillId="2" borderId="0" xfId="0" applyNumberFormat="1" applyFont="1" applyFill="1" applyBorder="1"/>
    <xf numFmtId="2" fontId="0" fillId="4" borderId="1" xfId="0" applyNumberFormat="1" applyFill="1" applyBorder="1"/>
  </cellXfs>
  <cellStyles count="13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cellStyle name="Normal" xfId="0" builtinId="0"/>
  </cellStyles>
  <dxfs count="0"/>
  <tableStyles count="0" defaultTableStyle="TableStyleMedium9" defaultPivotStyle="PivotStyleMedium7"/>
  <colors>
    <mruColors>
      <color rgb="FF6E5540"/>
      <color rgb="FF5C47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baseline="0"/>
              <a:t>CO2-eq emissions from kerosene and BFG</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CO2_emissions!$C$43</c:f>
              <c:strCache>
                <c:ptCount val="1"/>
                <c:pt idx="0">
                  <c:v>Kerosene</c:v>
                </c:pt>
              </c:strCache>
            </c:strRef>
          </c:tx>
          <c:spPr>
            <a:solidFill>
              <a:schemeClr val="accent1">
                <a:lumMod val="5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CO2_emissions!$D$43:$G$43</c:f>
              <c:numCache>
                <c:formatCode>0.00</c:formatCode>
                <c:ptCount val="4"/>
                <c:pt idx="0">
                  <c:v>5.487459380259642</c:v>
                </c:pt>
                <c:pt idx="1">
                  <c:v>5.487459380259642</c:v>
                </c:pt>
                <c:pt idx="2">
                  <c:v>0.0</c:v>
                </c:pt>
                <c:pt idx="3">
                  <c:v>0.0</c:v>
                </c:pt>
              </c:numCache>
            </c:numRef>
          </c:val>
        </c:ser>
        <c:ser>
          <c:idx val="1"/>
          <c:order val="1"/>
          <c:tx>
            <c:strRef>
              <c:f>CO2_emissions!$C$44</c:f>
              <c:strCache>
                <c:ptCount val="1"/>
                <c:pt idx="0">
                  <c:v>Diesel</c:v>
                </c:pt>
              </c:strCache>
            </c:strRef>
          </c:tx>
          <c:spPr>
            <a:solidFill>
              <a:schemeClr val="accent1">
                <a:lumMod val="60000"/>
                <a:lumOff val="4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CO2_emissions!$D$44:$G$44</c:f>
              <c:numCache>
                <c:formatCode>0.00</c:formatCode>
                <c:ptCount val="4"/>
                <c:pt idx="0">
                  <c:v>3.492019605619772</c:v>
                </c:pt>
                <c:pt idx="1">
                  <c:v>3.492019605619772</c:v>
                </c:pt>
              </c:numCache>
            </c:numRef>
          </c:val>
        </c:ser>
        <c:ser>
          <c:idx val="2"/>
          <c:order val="2"/>
          <c:tx>
            <c:strRef>
              <c:f>CO2_emissions!$C$45</c:f>
              <c:strCache>
                <c:ptCount val="1"/>
                <c:pt idx="0">
                  <c:v>DAC</c:v>
                </c:pt>
              </c:strCache>
            </c:strRef>
          </c:tx>
          <c:spPr>
            <a:solidFill>
              <a:schemeClr val="accent3">
                <a:lumMod val="60000"/>
                <a:lumOff val="4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CO2_emissions!$D$45:$G$45</c:f>
              <c:numCache>
                <c:formatCode>0.00</c:formatCode>
                <c:ptCount val="4"/>
                <c:pt idx="1">
                  <c:v>0.0</c:v>
                </c:pt>
                <c:pt idx="2">
                  <c:v>0.0</c:v>
                </c:pt>
              </c:numCache>
            </c:numRef>
          </c:val>
        </c:ser>
        <c:ser>
          <c:idx val="3"/>
          <c:order val="3"/>
          <c:tx>
            <c:strRef>
              <c:f>CO2_emissions!$C$46</c:f>
              <c:strCache>
                <c:ptCount val="1"/>
                <c:pt idx="0">
                  <c:v>BFG-CO2</c:v>
                </c:pt>
              </c:strCache>
            </c:strRef>
          </c:tx>
          <c:spPr>
            <a:solidFill>
              <a:schemeClr val="tx1">
                <a:lumMod val="95000"/>
                <a:lumOff val="5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CO2_emissions!$D$46:$G$46</c:f>
              <c:numCache>
                <c:formatCode>0.00</c:formatCode>
                <c:ptCount val="4"/>
                <c:pt idx="0">
                  <c:v>4.210411870121192</c:v>
                </c:pt>
                <c:pt idx="1">
                  <c:v>9.17106582036861E-6</c:v>
                </c:pt>
                <c:pt idx="2">
                  <c:v>0.000421041187012073</c:v>
                </c:pt>
                <c:pt idx="3">
                  <c:v>0.0</c:v>
                </c:pt>
              </c:numCache>
            </c:numRef>
          </c:val>
        </c:ser>
        <c:ser>
          <c:idx val="4"/>
          <c:order val="4"/>
          <c:tx>
            <c:strRef>
              <c:f>CO2_emissions!$C$47</c:f>
              <c:strCache>
                <c:ptCount val="1"/>
                <c:pt idx="0">
                  <c:v>BFG-CO</c:v>
                </c:pt>
              </c:strCache>
            </c:strRef>
          </c:tx>
          <c:spPr>
            <a:solidFill>
              <a:schemeClr val="bg2">
                <a:lumMod val="5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CO2_emissions!$D$47:$G$47</c:f>
              <c:numCache>
                <c:formatCode>0.00</c:formatCode>
                <c:ptCount val="4"/>
                <c:pt idx="0">
                  <c:v>4.869279455092184</c:v>
                </c:pt>
                <c:pt idx="1">
                  <c:v>0.0981061340096598</c:v>
                </c:pt>
                <c:pt idx="2">
                  <c:v>0.0</c:v>
                </c:pt>
                <c:pt idx="3">
                  <c:v>0.0</c:v>
                </c:pt>
              </c:numCache>
            </c:numRef>
          </c:val>
        </c:ser>
        <c:ser>
          <c:idx val="5"/>
          <c:order val="5"/>
          <c:tx>
            <c:strRef>
              <c:f>CO2_emissions!$C$48</c:f>
              <c:strCache>
                <c:ptCount val="1"/>
                <c:pt idx="0">
                  <c:v>PEM-CO2</c:v>
                </c:pt>
              </c:strCache>
            </c:strRef>
          </c:tx>
          <c:spPr>
            <a:solidFill>
              <a:schemeClr val="accent6"/>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CO2_emissions!$D$48:$G$48</c:f>
              <c:numCache>
                <c:formatCode>0.00</c:formatCode>
                <c:ptCount val="4"/>
                <c:pt idx="1">
                  <c:v>0.00240570904510518</c:v>
                </c:pt>
              </c:numCache>
            </c:numRef>
          </c:val>
        </c:ser>
        <c:ser>
          <c:idx val="6"/>
          <c:order val="6"/>
          <c:tx>
            <c:strRef>
              <c:f>CO2_emissions!$C$49</c:f>
              <c:strCache>
                <c:ptCount val="1"/>
                <c:pt idx="0">
                  <c:v>RWGS</c:v>
                </c:pt>
              </c:strCache>
            </c:strRef>
          </c:tx>
          <c:spPr>
            <a:solidFill>
              <a:schemeClr val="accent1">
                <a:lumMod val="6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CO2_emissions!$D$49:$G$49</c:f>
              <c:numCache>
                <c:formatCode>0.00</c:formatCode>
                <c:ptCount val="4"/>
                <c:pt idx="1">
                  <c:v>0.0</c:v>
                </c:pt>
              </c:numCache>
            </c:numRef>
          </c:val>
        </c:ser>
        <c:ser>
          <c:idx val="7"/>
          <c:order val="7"/>
          <c:tx>
            <c:strRef>
              <c:f>CO2_emissions!$C$50</c:f>
              <c:strCache>
                <c:ptCount val="1"/>
                <c:pt idx="0">
                  <c:v>FT</c:v>
                </c:pt>
              </c:strCache>
            </c:strRef>
          </c:tx>
          <c:spPr>
            <a:solidFill>
              <a:schemeClr val="accent4">
                <a:lumMod val="5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CO2_emissions!$D$50:$G$50</c:f>
              <c:numCache>
                <c:formatCode>0.00</c:formatCode>
                <c:ptCount val="4"/>
                <c:pt idx="1">
                  <c:v>0.0</c:v>
                </c:pt>
              </c:numCache>
            </c:numRef>
          </c:val>
        </c:ser>
        <c:ser>
          <c:idx val="8"/>
          <c:order val="8"/>
          <c:tx>
            <c:strRef>
              <c:f>CO2_emissions!$C$51</c:f>
              <c:strCache>
                <c:ptCount val="1"/>
                <c:pt idx="0">
                  <c:v>MeOH synthesis</c:v>
                </c:pt>
              </c:strCache>
            </c:strRef>
          </c:tx>
          <c:spPr>
            <a:solidFill>
              <a:schemeClr val="accent3">
                <a:lumMod val="6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CO2_emissions!$D$51:$G$51</c:f>
              <c:numCache>
                <c:formatCode>0.00</c:formatCode>
                <c:ptCount val="4"/>
                <c:pt idx="2">
                  <c:v>0.0</c:v>
                </c:pt>
              </c:numCache>
            </c:numRef>
          </c:val>
        </c:ser>
        <c:ser>
          <c:idx val="9"/>
          <c:order val="9"/>
          <c:tx>
            <c:strRef>
              <c:f>CO2_emissions!$C$52</c:f>
              <c:strCache>
                <c:ptCount val="1"/>
                <c:pt idx="0">
                  <c:v>MeOH upgrade</c:v>
                </c:pt>
              </c:strCache>
            </c:strRef>
          </c:tx>
          <c:spPr>
            <a:solidFill>
              <a:schemeClr val="accent2">
                <a:lumMod val="5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CO2_emissions!$D$52:$G$52</c:f>
              <c:numCache>
                <c:formatCode>0.00</c:formatCode>
                <c:ptCount val="4"/>
                <c:pt idx="2">
                  <c:v>0.0</c:v>
                </c:pt>
              </c:numCache>
            </c:numRef>
          </c:val>
        </c:ser>
        <c:ser>
          <c:idx val="10"/>
          <c:order val="10"/>
          <c:tx>
            <c:strRef>
              <c:f>CO2_emissions!$C$53</c:f>
              <c:strCache>
                <c:ptCount val="1"/>
                <c:pt idx="0">
                  <c:v>Net result</c:v>
                </c:pt>
              </c:strCache>
            </c:strRef>
          </c:tx>
          <c:spPr>
            <a:solidFill>
              <a:schemeClr val="accent5">
                <a:lumMod val="60000"/>
              </a:schemeClr>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CO2_emissions!$D$53:$G$53</c:f>
              <c:numCache>
                <c:formatCode>0.00</c:formatCode>
                <c:ptCount val="4"/>
              </c:numCache>
            </c:numRef>
          </c:val>
        </c:ser>
        <c:ser>
          <c:idx val="11"/>
          <c:order val="11"/>
          <c:tx>
            <c:strRef>
              <c:f>CO2_emissions!$C$54</c:f>
              <c:strCache>
                <c:ptCount val="1"/>
                <c:pt idx="0">
                  <c:v>LCA emissions fossil</c:v>
                </c:pt>
              </c:strCache>
            </c:strRef>
          </c:tx>
          <c:spPr>
            <a:solidFill>
              <a:srgbClr val="5C4735"/>
            </a:solidFill>
            <a:ln>
              <a:noFill/>
            </a:ln>
            <a:effectLst/>
          </c:spPr>
          <c:invertIfNegative val="0"/>
          <c:cat>
            <c:strRef>
              <c:f>CO2_emissions!$D$42:$G$42</c:f>
              <c:strCache>
                <c:ptCount val="4"/>
                <c:pt idx="0">
                  <c:v>Fossil ref (FT)</c:v>
                </c:pt>
                <c:pt idx="1">
                  <c:v>FT route</c:v>
                </c:pt>
                <c:pt idx="2">
                  <c:v>MeOH route</c:v>
                </c:pt>
                <c:pt idx="3">
                  <c:v>Fossil ref (MeOH)</c:v>
                </c:pt>
              </c:strCache>
            </c:strRef>
          </c:cat>
          <c:val>
            <c:numRef>
              <c:f>CO2_emissions!$D$54:$G$54</c:f>
              <c:numCache>
                <c:formatCode>0.00</c:formatCode>
                <c:ptCount val="4"/>
                <c:pt idx="0">
                  <c:v>1.982239173053791</c:v>
                </c:pt>
                <c:pt idx="3">
                  <c:v>0.0</c:v>
                </c:pt>
              </c:numCache>
            </c:numRef>
          </c:val>
        </c:ser>
        <c:dLbls>
          <c:showLegendKey val="0"/>
          <c:showVal val="0"/>
          <c:showCatName val="0"/>
          <c:showSerName val="0"/>
          <c:showPercent val="0"/>
          <c:showBubbleSize val="0"/>
        </c:dLbls>
        <c:gapWidth val="150"/>
        <c:overlap val="100"/>
        <c:axId val="1782969248"/>
        <c:axId val="1795582688"/>
      </c:barChart>
      <c:catAx>
        <c:axId val="1782969248"/>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aseline="0"/>
                  <a:t>Route</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3175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795582688"/>
        <c:crosses val="autoZero"/>
        <c:auto val="1"/>
        <c:lblAlgn val="ctr"/>
        <c:lblOffset val="100"/>
        <c:noMultiLvlLbl val="0"/>
      </c:catAx>
      <c:valAx>
        <c:axId val="1795582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aseline="0"/>
                  <a:t>CO2-eq added to atmosphere [Mt]</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31750">
            <a:solidFill>
              <a:schemeClr val="bg1">
                <a:lumMod val="85000"/>
              </a:schemeClr>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782969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CO2-eq</a:t>
            </a:r>
            <a:r>
              <a:rPr lang="en-US" baseline="0"/>
              <a:t> emissions from kerosene and BFG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CO2_Storage_Costs!$C$131</c:f>
              <c:strCache>
                <c:ptCount val="1"/>
                <c:pt idx="0">
                  <c:v>Kerosene</c:v>
                </c:pt>
              </c:strCache>
            </c:strRef>
          </c:tx>
          <c:spPr>
            <a:solidFill>
              <a:schemeClr val="accent1">
                <a:lumMod val="5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CO2_Storage_Costs!$D$131:$G$131</c:f>
              <c:numCache>
                <c:formatCode>0.00</c:formatCode>
                <c:ptCount val="4"/>
                <c:pt idx="0">
                  <c:v>0.0</c:v>
                </c:pt>
                <c:pt idx="1">
                  <c:v>5.487459380259642</c:v>
                </c:pt>
                <c:pt idx="2">
                  <c:v>0.0</c:v>
                </c:pt>
              </c:numCache>
            </c:numRef>
          </c:val>
        </c:ser>
        <c:ser>
          <c:idx val="1"/>
          <c:order val="1"/>
          <c:tx>
            <c:strRef>
              <c:f>CO2_Storage_Costs!$C$132</c:f>
              <c:strCache>
                <c:ptCount val="1"/>
                <c:pt idx="0">
                  <c:v>Diesel</c:v>
                </c:pt>
              </c:strCache>
            </c:strRef>
          </c:tx>
          <c:spPr>
            <a:solidFill>
              <a:schemeClr val="accent1">
                <a:lumMod val="60000"/>
                <a:lumOff val="4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CO2_Storage_Costs!$D$132:$G$132</c:f>
              <c:numCache>
                <c:formatCode>0.00</c:formatCode>
                <c:ptCount val="4"/>
                <c:pt idx="1">
                  <c:v>3.492019605619772</c:v>
                </c:pt>
              </c:numCache>
            </c:numRef>
          </c:val>
        </c:ser>
        <c:ser>
          <c:idx val="2"/>
          <c:order val="2"/>
          <c:tx>
            <c:strRef>
              <c:f>CO2_Storage_Costs!$C$133</c:f>
              <c:strCache>
                <c:ptCount val="1"/>
                <c:pt idx="0">
                  <c:v>DAC</c:v>
                </c:pt>
              </c:strCache>
            </c:strRef>
          </c:tx>
          <c:spPr>
            <a:solidFill>
              <a:schemeClr val="accent3">
                <a:lumMod val="60000"/>
                <a:lumOff val="4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CO2_Storage_Costs!$D$133:$G$133</c:f>
              <c:numCache>
                <c:formatCode>0.00</c:formatCode>
                <c:ptCount val="4"/>
                <c:pt idx="1">
                  <c:v>0.0</c:v>
                </c:pt>
                <c:pt idx="2">
                  <c:v>0.0</c:v>
                </c:pt>
              </c:numCache>
            </c:numRef>
          </c:val>
        </c:ser>
        <c:ser>
          <c:idx val="3"/>
          <c:order val="3"/>
          <c:tx>
            <c:strRef>
              <c:f>CO2_Storage_Costs!$C$134</c:f>
              <c:strCache>
                <c:ptCount val="1"/>
                <c:pt idx="0">
                  <c:v>BFG-CO2</c:v>
                </c:pt>
              </c:strCache>
            </c:strRef>
          </c:tx>
          <c:spPr>
            <a:solidFill>
              <a:schemeClr val="tx1">
                <a:lumMod val="95000"/>
                <a:lumOff val="5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CO2_Storage_Costs!$D$134:$G$134</c:f>
              <c:numCache>
                <c:formatCode>0.00</c:formatCode>
                <c:ptCount val="4"/>
                <c:pt idx="0">
                  <c:v>4.031441241685144</c:v>
                </c:pt>
                <c:pt idx="1">
                  <c:v>0.000421041187012073</c:v>
                </c:pt>
                <c:pt idx="2">
                  <c:v>0.000421041187012073</c:v>
                </c:pt>
              </c:numCache>
            </c:numRef>
          </c:val>
        </c:ser>
        <c:ser>
          <c:idx val="4"/>
          <c:order val="4"/>
          <c:tx>
            <c:strRef>
              <c:f>CO2_Storage_Costs!$C$135</c:f>
              <c:strCache>
                <c:ptCount val="1"/>
                <c:pt idx="0">
                  <c:v>BFG-CO</c:v>
                </c:pt>
              </c:strCache>
            </c:strRef>
          </c:tx>
          <c:spPr>
            <a:solidFill>
              <a:schemeClr val="bg2">
                <a:lumMod val="5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CO2_Storage_Costs!$D$135:$G$135</c:f>
              <c:numCache>
                <c:formatCode>0.00</c:formatCode>
                <c:ptCount val="4"/>
                <c:pt idx="0">
                  <c:v>4.386058758314855</c:v>
                </c:pt>
                <c:pt idx="1">
                  <c:v>0.0973855891018437</c:v>
                </c:pt>
                <c:pt idx="2">
                  <c:v>0.0973855891018437</c:v>
                </c:pt>
              </c:numCache>
            </c:numRef>
          </c:val>
        </c:ser>
        <c:ser>
          <c:idx val="5"/>
          <c:order val="5"/>
          <c:tx>
            <c:strRef>
              <c:f>CO2_Storage_Costs!$C$136</c:f>
              <c:strCache>
                <c:ptCount val="1"/>
                <c:pt idx="0">
                  <c:v>PEM-CO2</c:v>
                </c:pt>
              </c:strCache>
            </c:strRef>
          </c:tx>
          <c:spPr>
            <a:solidFill>
              <a:schemeClr val="accent6"/>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CO2_Storage_Costs!$D$136:$G$136</c:f>
              <c:numCache>
                <c:formatCode>0.00</c:formatCode>
                <c:ptCount val="4"/>
                <c:pt idx="1">
                  <c:v>0.0</c:v>
                </c:pt>
              </c:numCache>
            </c:numRef>
          </c:val>
        </c:ser>
        <c:ser>
          <c:idx val="6"/>
          <c:order val="6"/>
          <c:tx>
            <c:strRef>
              <c:f>CO2_Storage_Costs!$C$137</c:f>
              <c:strCache>
                <c:ptCount val="1"/>
                <c:pt idx="0">
                  <c:v>RWGS</c:v>
                </c:pt>
              </c:strCache>
            </c:strRef>
          </c:tx>
          <c:spPr>
            <a:solidFill>
              <a:schemeClr val="accent1">
                <a:lumMod val="6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CO2_Storage_Costs!$D$137:$G$137</c:f>
              <c:numCache>
                <c:formatCode>0.00</c:formatCode>
                <c:ptCount val="4"/>
                <c:pt idx="1">
                  <c:v>0.0</c:v>
                </c:pt>
              </c:numCache>
            </c:numRef>
          </c:val>
        </c:ser>
        <c:ser>
          <c:idx val="7"/>
          <c:order val="7"/>
          <c:tx>
            <c:strRef>
              <c:f>CO2_Storage_Costs!$C$138</c:f>
              <c:strCache>
                <c:ptCount val="1"/>
                <c:pt idx="0">
                  <c:v>FT</c:v>
                </c:pt>
              </c:strCache>
            </c:strRef>
          </c:tx>
          <c:spPr>
            <a:solidFill>
              <a:schemeClr val="accent4">
                <a:lumMod val="5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CO2_Storage_Costs!$D$138:$G$138</c:f>
              <c:numCache>
                <c:formatCode>0.00</c:formatCode>
                <c:ptCount val="4"/>
                <c:pt idx="1">
                  <c:v>0.0</c:v>
                </c:pt>
              </c:numCache>
            </c:numRef>
          </c:val>
        </c:ser>
        <c:ser>
          <c:idx val="8"/>
          <c:order val="8"/>
          <c:tx>
            <c:strRef>
              <c:f>CO2_Storage_Costs!$C$139</c:f>
              <c:strCache>
                <c:ptCount val="1"/>
                <c:pt idx="0">
                  <c:v>MeOH synthesis</c:v>
                </c:pt>
              </c:strCache>
            </c:strRef>
          </c:tx>
          <c:spPr>
            <a:solidFill>
              <a:schemeClr val="accent3">
                <a:lumMod val="6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CO2_Storage_Costs!$D$139:$G$139</c:f>
              <c:numCache>
                <c:formatCode>0.00</c:formatCode>
                <c:ptCount val="4"/>
                <c:pt idx="2">
                  <c:v>0.0898188469492453</c:v>
                </c:pt>
              </c:numCache>
            </c:numRef>
          </c:val>
        </c:ser>
        <c:ser>
          <c:idx val="9"/>
          <c:order val="9"/>
          <c:tx>
            <c:strRef>
              <c:f>CO2_Storage_Costs!$C$140</c:f>
              <c:strCache>
                <c:ptCount val="1"/>
                <c:pt idx="0">
                  <c:v>MeOH upgrade</c:v>
                </c:pt>
              </c:strCache>
            </c:strRef>
          </c:tx>
          <c:spPr>
            <a:solidFill>
              <a:schemeClr val="accent2">
                <a:lumMod val="5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CO2_Storage_Costs!$D$140:$G$140</c:f>
              <c:numCache>
                <c:formatCode>0.00</c:formatCode>
                <c:ptCount val="4"/>
                <c:pt idx="2">
                  <c:v>0.0</c:v>
                </c:pt>
              </c:numCache>
            </c:numRef>
          </c:val>
        </c:ser>
        <c:ser>
          <c:idx val="10"/>
          <c:order val="10"/>
          <c:tx>
            <c:strRef>
              <c:f>CO2_Storage_Costs!$C$141</c:f>
              <c:strCache>
                <c:ptCount val="1"/>
                <c:pt idx="0">
                  <c:v>Net result</c:v>
                </c:pt>
              </c:strCache>
            </c:strRef>
          </c:tx>
          <c:spPr>
            <a:solidFill>
              <a:schemeClr val="accent5">
                <a:lumMod val="60000"/>
              </a:schemeClr>
            </a:solidFill>
            <a:ln>
              <a:noFill/>
            </a:ln>
            <a:effectLst/>
          </c:spPr>
          <c:invertIfNegative val="0"/>
          <c:cat>
            <c:strRef>
              <c:f>CO2_Storage_Costs!$D$130:$G$130</c:f>
              <c:strCache>
                <c:ptCount val="4"/>
                <c:pt idx="0">
                  <c:v>Fossil ref (MeOH)</c:v>
                </c:pt>
                <c:pt idx="1">
                  <c:v>FT route</c:v>
                </c:pt>
                <c:pt idx="2">
                  <c:v>MeOH route</c:v>
                </c:pt>
                <c:pt idx="3">
                  <c:v>Net MeOH result</c:v>
                </c:pt>
              </c:strCache>
            </c:strRef>
          </c:cat>
          <c:val>
            <c:numRef>
              <c:f>CO2_Storage_Costs!$D$141:$G$141</c:f>
              <c:numCache>
                <c:formatCode>0.00</c:formatCode>
                <c:ptCount val="4"/>
                <c:pt idx="3">
                  <c:v>0.187625477238101</c:v>
                </c:pt>
              </c:numCache>
            </c:numRef>
          </c:val>
        </c:ser>
        <c:dLbls>
          <c:showLegendKey val="0"/>
          <c:showVal val="0"/>
          <c:showCatName val="0"/>
          <c:showSerName val="0"/>
          <c:showPercent val="0"/>
          <c:showBubbleSize val="0"/>
        </c:dLbls>
        <c:gapWidth val="150"/>
        <c:overlap val="100"/>
        <c:axId val="1797153616"/>
        <c:axId val="1796815088"/>
      </c:barChart>
      <c:catAx>
        <c:axId val="1797153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Route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3175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815088"/>
        <c:crosses val="autoZero"/>
        <c:auto val="1"/>
        <c:lblAlgn val="ctr"/>
        <c:lblOffset val="100"/>
        <c:noMultiLvlLbl val="0"/>
      </c:catAx>
      <c:valAx>
        <c:axId val="1796815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CO2-eq added to atmosphere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nextTo"/>
        <c:spPr>
          <a:noFill/>
          <a:ln w="31750">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7153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 Id="rId2"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787400</xdr:colOff>
      <xdr:row>24</xdr:row>
      <xdr:rowOff>25400</xdr:rowOff>
    </xdr:from>
    <xdr:to>
      <xdr:col>10</xdr:col>
      <xdr:colOff>609600</xdr:colOff>
      <xdr:row>47</xdr:row>
      <xdr:rowOff>127000</xdr:rowOff>
    </xdr:to>
    <xdr:sp macro="" textlink="">
      <xdr:nvSpPr>
        <xdr:cNvPr id="2" name="TextBox 1"/>
        <xdr:cNvSpPr txBox="1"/>
      </xdr:nvSpPr>
      <xdr:spPr>
        <a:xfrm>
          <a:off x="787400" y="2971800"/>
          <a:ext cx="7734300" cy="477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For the Process tab</a:t>
          </a:r>
        </a:p>
        <a:p>
          <a:endParaRPr lang="en-US" sz="1100" baseline="0"/>
        </a:p>
        <a:p>
          <a:r>
            <a:rPr lang="en-US" sz="1100" b="1" baseline="0"/>
            <a:t>Settings</a:t>
          </a:r>
        </a:p>
        <a:p>
          <a:r>
            <a:rPr lang="en-US" sz="1100" baseline="0"/>
            <a:t>You can set the quantity of CO2 and CO that is captured from Tata Steel as well as the quantity of CO2 captured from air. The standard values are the max capture potentials from Tata Steel; CO2 capture from air has a standard setting of 0 Mt.</a:t>
          </a:r>
        </a:p>
        <a:p>
          <a:r>
            <a:rPr lang="en-US" sz="1100" baseline="0"/>
            <a:t>You can select the production pathway at the top of left, and the revenues you include just below. Any cell with all borders has a value that you can change; other cells are simply calculations. If you therefore think that a parameter is too optimistic or pessimistic, you can just fill in a different value.</a:t>
          </a:r>
        </a:p>
        <a:p>
          <a:endParaRPr lang="en-US" sz="1100" baseline="0"/>
        </a:p>
        <a:p>
          <a:r>
            <a:rPr lang="en-US" sz="1100" b="1" baseline="0"/>
            <a:t>How it works</a:t>
          </a:r>
        </a:p>
        <a:p>
          <a:r>
            <a:rPr lang="en-US" sz="1100" b="0" baseline="0"/>
            <a:t>Based on the production pathway you selected, the model will calculate the annualised cost to obtain 1 tonne of product for every step. These costs include investments, operation &amp; maintenance costs, capital charge and utility costs. Based on the quantity of CO2 and CO that is captured from Tata Steel, the model then calculates the quantity of kerosene that can be produced. The total costs are then equal to the sum of all levelised costs for each step times the respective quantities of product. The total revenues other than kerosene sale are then calculated, based on the settings. The difference in total costs and revenues (excluding kerosene sale) divided by the quanitity of kerosene produced then gives the break-even kerosene price, i.e. the minimum price at which synthetic kerosene is bought and sold.</a:t>
          </a:r>
        </a:p>
        <a:p>
          <a:endParaRPr lang="en-US" sz="1100" b="0" baseline="0"/>
        </a:p>
        <a:p>
          <a:r>
            <a:rPr lang="en-US" sz="1100" b="1" baseline="0"/>
            <a:t>Some output parameters of interest</a:t>
          </a:r>
        </a:p>
        <a:p>
          <a:r>
            <a:rPr lang="en-US" sz="1100" b="0" i="1" baseline="0"/>
            <a:t>Break-even price</a:t>
          </a:r>
          <a:r>
            <a:rPr lang="en-US" sz="1100" b="0" baseline="0"/>
            <a:t>	See above</a:t>
          </a:r>
        </a:p>
        <a:p>
          <a:r>
            <a:rPr lang="en-US" sz="1100" b="0" i="1" baseline="0"/>
            <a:t>Avoided CO2-emissions</a:t>
          </a:r>
          <a:r>
            <a:rPr lang="en-US" sz="1100" b="0" baseline="0"/>
            <a:t>	Total emissions saved for selected pathway compared to the reference fossil kerosene 			and steel pathway, including all lifecycle emissions</a:t>
          </a:r>
        </a:p>
        <a:p>
          <a:r>
            <a:rPr lang="en-US" sz="1100" b="0" i="1" baseline="0"/>
            <a:t>CO2-abatement cost</a:t>
          </a:r>
          <a:r>
            <a:rPr lang="en-US" sz="1100" b="0" baseline="0"/>
            <a:t>	</a:t>
          </a:r>
          <a:r>
            <a:rPr lang="en-GB" sz="1100">
              <a:solidFill>
                <a:schemeClr val="dk1"/>
              </a:solidFill>
              <a:effectLst/>
              <a:latin typeface="+mn-lt"/>
              <a:ea typeface="+mn-ea"/>
              <a:cs typeface="+mn-cs"/>
            </a:rPr>
            <a:t>The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abatement price is defined as the difference between the break-even synthetic kerosene 		price and the fossil kerosene price (in €/t) over the difference in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emissions (including fuel chain 		emissions) of combustion of 1 t of synthetic and 1 t of fossil kerosene</a:t>
          </a:r>
          <a:r>
            <a:rPr lang="en-US">
              <a:effectLst/>
            </a:rPr>
            <a:t> </a:t>
          </a:r>
          <a:r>
            <a:rPr lang="en-US" sz="1100" b="0" baseline="0">
              <a:effectLst/>
            </a:rPr>
            <a:t>(including diesel shares)</a:t>
          </a:r>
          <a:endParaRPr lang="en-US" sz="1100" b="0" baseline="0"/>
        </a:p>
        <a:p>
          <a:endParaRPr lang="en-US" sz="1100" b="0" baseline="0"/>
        </a:p>
        <a:p>
          <a:endParaRPr lang="en-US" sz="1100" b="0" baseline="0"/>
        </a:p>
        <a:p>
          <a:endParaRPr lang="en-US" sz="1100" b="0"/>
        </a:p>
      </xdr:txBody>
    </xdr:sp>
    <xdr:clientData/>
  </xdr:twoCellAnchor>
  <xdr:twoCellAnchor editAs="oneCell">
    <xdr:from>
      <xdr:col>6</xdr:col>
      <xdr:colOff>431800</xdr:colOff>
      <xdr:row>2</xdr:row>
      <xdr:rowOff>88900</xdr:rowOff>
    </xdr:from>
    <xdr:to>
      <xdr:col>8</xdr:col>
      <xdr:colOff>787400</xdr:colOff>
      <xdr:row>4</xdr:row>
      <xdr:rowOff>119380</xdr:rowOff>
    </xdr:to>
    <xdr:pic>
      <xdr:nvPicPr>
        <xdr:cNvPr id="3" name="Picture 2"/>
        <xdr:cNvPicPr>
          <a:picLocks noChangeAspect="1"/>
        </xdr:cNvPicPr>
      </xdr:nvPicPr>
      <xdr:blipFill>
        <a:blip xmlns:r="http://schemas.openxmlformats.org/officeDocument/2006/relationships" r:embed="rId1"/>
        <a:stretch>
          <a:fillRect/>
        </a:stretch>
      </xdr:blipFill>
      <xdr:spPr>
        <a:xfrm>
          <a:off x="5041900" y="495300"/>
          <a:ext cx="2006600" cy="601980"/>
        </a:xfrm>
        <a:prstGeom prst="rect">
          <a:avLst/>
        </a:prstGeom>
      </xdr:spPr>
    </xdr:pic>
    <xdr:clientData/>
  </xdr:twoCellAnchor>
  <xdr:twoCellAnchor editAs="oneCell">
    <xdr:from>
      <xdr:col>1</xdr:col>
      <xdr:colOff>0</xdr:colOff>
      <xdr:row>12</xdr:row>
      <xdr:rowOff>0</xdr:rowOff>
    </xdr:from>
    <xdr:to>
      <xdr:col>3</xdr:col>
      <xdr:colOff>736600</xdr:colOff>
      <xdr:row>17</xdr:row>
      <xdr:rowOff>38100</xdr:rowOff>
    </xdr:to>
    <xdr:sp macro="" textlink="">
      <xdr:nvSpPr>
        <xdr:cNvPr id="1025" name="defanged23-B9C7F671-71B2-45A9-B704-6961B3787F29" descr="https://www.fastmail.com/unsafecontent/mail-attachment/f148016128u614/%3C3E61F82A-7710-49CB-B88C-E5D2C56FFB41%40home%3E/?u=684940a5#cidref=cid%3A3E61F82A-7710-49CB-B88C-E5D2C56FFB41%40home"/>
        <xdr:cNvSpPr>
          <a:spLocks noChangeAspect="1" noChangeArrowheads="1"/>
        </xdr:cNvSpPr>
      </xdr:nvSpPr>
      <xdr:spPr bwMode="auto">
        <a:xfrm>
          <a:off x="825500" y="2743200"/>
          <a:ext cx="2006600" cy="1054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165100</xdr:colOff>
      <xdr:row>1</xdr:row>
      <xdr:rowOff>152400</xdr:rowOff>
    </xdr:from>
    <xdr:to>
      <xdr:col>11</xdr:col>
      <xdr:colOff>211282</xdr:colOff>
      <xdr:row>4</xdr:row>
      <xdr:rowOff>266700</xdr:rowOff>
    </xdr:to>
    <xdr:pic>
      <xdr:nvPicPr>
        <xdr:cNvPr id="4" name="Picture 3"/>
        <xdr:cNvPicPr>
          <a:picLocks noChangeAspect="1"/>
        </xdr:cNvPicPr>
      </xdr:nvPicPr>
      <xdr:blipFill>
        <a:blip xmlns:r="http://schemas.openxmlformats.org/officeDocument/2006/relationships" r:embed="rId2"/>
        <a:stretch>
          <a:fillRect/>
        </a:stretch>
      </xdr:blipFill>
      <xdr:spPr>
        <a:xfrm>
          <a:off x="7251700" y="355600"/>
          <a:ext cx="1697182" cy="88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95980</xdr:colOff>
      <xdr:row>19</xdr:row>
      <xdr:rowOff>101598</xdr:rowOff>
    </xdr:from>
    <xdr:to>
      <xdr:col>7</xdr:col>
      <xdr:colOff>84667</xdr:colOff>
      <xdr:row>20</xdr:row>
      <xdr:rowOff>183444</xdr:rowOff>
    </xdr:to>
    <xdr:sp macro="" textlink="">
      <xdr:nvSpPr>
        <xdr:cNvPr id="2" name="TextBox 1"/>
        <xdr:cNvSpPr txBox="1"/>
      </xdr:nvSpPr>
      <xdr:spPr>
        <a:xfrm>
          <a:off x="3948313" y="3657598"/>
          <a:ext cx="990576" cy="279402"/>
        </a:xfrm>
        <a:prstGeom prst="roundRect">
          <a:avLst/>
        </a:prstGeom>
        <a:solidFill>
          <a:schemeClr val="tx1"/>
        </a:solidFill>
        <a:ln w="349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CO2 available</a:t>
          </a:r>
        </a:p>
      </xdr:txBody>
    </xdr:sp>
    <xdr:clientData/>
  </xdr:twoCellAnchor>
  <xdr:twoCellAnchor>
    <xdr:from>
      <xdr:col>10</xdr:col>
      <xdr:colOff>42346</xdr:colOff>
      <xdr:row>14</xdr:row>
      <xdr:rowOff>36685</xdr:rowOff>
    </xdr:from>
    <xdr:to>
      <xdr:col>10</xdr:col>
      <xdr:colOff>571514</xdr:colOff>
      <xdr:row>15</xdr:row>
      <xdr:rowOff>145341</xdr:rowOff>
    </xdr:to>
    <xdr:sp macro="" textlink="">
      <xdr:nvSpPr>
        <xdr:cNvPr id="3" name="TextBox 2"/>
        <xdr:cNvSpPr txBox="1"/>
      </xdr:nvSpPr>
      <xdr:spPr>
        <a:xfrm>
          <a:off x="6632235" y="2407352"/>
          <a:ext cx="529168" cy="306211"/>
        </a:xfrm>
        <a:prstGeom prst="roundRect">
          <a:avLst/>
        </a:prstGeom>
        <a:solidFill>
          <a:schemeClr val="accent6">
            <a:lumMod val="75000"/>
          </a:schemeClr>
        </a:solidFill>
        <a:ln w="349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H2</a:t>
          </a:r>
        </a:p>
      </xdr:txBody>
    </xdr:sp>
    <xdr:clientData/>
  </xdr:twoCellAnchor>
  <xdr:twoCellAnchor>
    <xdr:from>
      <xdr:col>18</xdr:col>
      <xdr:colOff>904523</xdr:colOff>
      <xdr:row>24</xdr:row>
      <xdr:rowOff>9879</xdr:rowOff>
    </xdr:from>
    <xdr:to>
      <xdr:col>19</xdr:col>
      <xdr:colOff>437445</xdr:colOff>
      <xdr:row>25</xdr:row>
      <xdr:rowOff>111478</xdr:rowOff>
    </xdr:to>
    <xdr:sp macro="" textlink="">
      <xdr:nvSpPr>
        <xdr:cNvPr id="4" name="TextBox 3"/>
        <xdr:cNvSpPr txBox="1"/>
      </xdr:nvSpPr>
      <xdr:spPr>
        <a:xfrm>
          <a:off x="13082412" y="3565879"/>
          <a:ext cx="591255" cy="299155"/>
        </a:xfrm>
        <a:prstGeom prst="roundRect">
          <a:avLst/>
        </a:prstGeom>
        <a:solidFill>
          <a:schemeClr val="accent1">
            <a:lumMod val="50000"/>
          </a:schemeClr>
        </a:solidFill>
        <a:ln w="349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FT</a:t>
          </a:r>
        </a:p>
      </xdr:txBody>
    </xdr:sp>
    <xdr:clientData/>
  </xdr:twoCellAnchor>
  <xdr:twoCellAnchor>
    <xdr:from>
      <xdr:col>22</xdr:col>
      <xdr:colOff>221546</xdr:colOff>
      <xdr:row>20</xdr:row>
      <xdr:rowOff>91720</xdr:rowOff>
    </xdr:from>
    <xdr:to>
      <xdr:col>23</xdr:col>
      <xdr:colOff>84664</xdr:colOff>
      <xdr:row>21</xdr:row>
      <xdr:rowOff>183444</xdr:rowOff>
    </xdr:to>
    <xdr:sp macro="" textlink="">
      <xdr:nvSpPr>
        <xdr:cNvPr id="5" name="TextBox 4"/>
        <xdr:cNvSpPr txBox="1"/>
      </xdr:nvSpPr>
      <xdr:spPr>
        <a:xfrm>
          <a:off x="16223546" y="4168420"/>
          <a:ext cx="866418" cy="294924"/>
        </a:xfrm>
        <a:prstGeom prst="roundRect">
          <a:avLst/>
        </a:prstGeom>
        <a:solidFill>
          <a:schemeClr val="accent1">
            <a:lumMod val="50000"/>
          </a:schemeClr>
        </a:solidFill>
        <a:ln w="349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Kerosene</a:t>
          </a:r>
        </a:p>
      </xdr:txBody>
    </xdr:sp>
    <xdr:clientData/>
  </xdr:twoCellAnchor>
  <xdr:twoCellAnchor>
    <xdr:from>
      <xdr:col>22</xdr:col>
      <xdr:colOff>217314</xdr:colOff>
      <xdr:row>26</xdr:row>
      <xdr:rowOff>87487</xdr:rowOff>
    </xdr:from>
    <xdr:to>
      <xdr:col>23</xdr:col>
      <xdr:colOff>126999</xdr:colOff>
      <xdr:row>27</xdr:row>
      <xdr:rowOff>183446</xdr:rowOff>
    </xdr:to>
    <xdr:sp macro="" textlink="">
      <xdr:nvSpPr>
        <xdr:cNvPr id="6" name="TextBox 5"/>
        <xdr:cNvSpPr txBox="1"/>
      </xdr:nvSpPr>
      <xdr:spPr>
        <a:xfrm>
          <a:off x="16219314" y="5383387"/>
          <a:ext cx="912985" cy="299159"/>
        </a:xfrm>
        <a:prstGeom prst="roundRect">
          <a:avLst/>
        </a:prstGeom>
        <a:solidFill>
          <a:schemeClr val="accent1">
            <a:lumMod val="60000"/>
            <a:lumOff val="40000"/>
          </a:schemeClr>
        </a:solidFill>
        <a:ln w="349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Diesel</a:t>
          </a:r>
        </a:p>
      </xdr:txBody>
    </xdr:sp>
    <xdr:clientData/>
  </xdr:twoCellAnchor>
  <xdr:twoCellAnchor>
    <xdr:from>
      <xdr:col>10</xdr:col>
      <xdr:colOff>28243</xdr:colOff>
      <xdr:row>19</xdr:row>
      <xdr:rowOff>117120</xdr:rowOff>
    </xdr:from>
    <xdr:to>
      <xdr:col>10</xdr:col>
      <xdr:colOff>587043</xdr:colOff>
      <xdr:row>20</xdr:row>
      <xdr:rowOff>174975</xdr:rowOff>
    </xdr:to>
    <xdr:sp macro="" textlink="">
      <xdr:nvSpPr>
        <xdr:cNvPr id="7" name="TextBox 6"/>
        <xdr:cNvSpPr txBox="1"/>
      </xdr:nvSpPr>
      <xdr:spPr>
        <a:xfrm>
          <a:off x="6618132" y="3475564"/>
          <a:ext cx="558800" cy="255411"/>
        </a:xfrm>
        <a:prstGeom prst="roundRect">
          <a:avLst/>
        </a:prstGeom>
        <a:solidFill>
          <a:schemeClr val="bg2">
            <a:lumMod val="50000"/>
          </a:schemeClr>
        </a:solidFill>
        <a:ln w="349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a:t>
          </a:r>
        </a:p>
      </xdr:txBody>
    </xdr:sp>
    <xdr:clientData/>
  </xdr:twoCellAnchor>
  <xdr:twoCellAnchor>
    <xdr:from>
      <xdr:col>3</xdr:col>
      <xdr:colOff>606778</xdr:colOff>
      <xdr:row>9</xdr:row>
      <xdr:rowOff>90308</xdr:rowOff>
    </xdr:from>
    <xdr:to>
      <xdr:col>4</xdr:col>
      <xdr:colOff>698500</xdr:colOff>
      <xdr:row>10</xdr:row>
      <xdr:rowOff>165099</xdr:rowOff>
    </xdr:to>
    <xdr:sp macro="" textlink="">
      <xdr:nvSpPr>
        <xdr:cNvPr id="47" name="TextBox 46"/>
        <xdr:cNvSpPr txBox="1"/>
      </xdr:nvSpPr>
      <xdr:spPr>
        <a:xfrm>
          <a:off x="2689578" y="1931808"/>
          <a:ext cx="1018822" cy="277991"/>
        </a:xfrm>
        <a:prstGeom prst="roundRect">
          <a:avLst/>
        </a:prstGeom>
        <a:solidFill>
          <a:schemeClr val="tx1"/>
        </a:solidFill>
        <a:ln w="349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CO2 capture</a:t>
          </a:r>
        </a:p>
      </xdr:txBody>
    </xdr:sp>
    <xdr:clientData/>
  </xdr:twoCellAnchor>
  <xdr:twoCellAnchor>
    <xdr:from>
      <xdr:col>2</xdr:col>
      <xdr:colOff>436058</xdr:colOff>
      <xdr:row>19</xdr:row>
      <xdr:rowOff>105831</xdr:rowOff>
    </xdr:from>
    <xdr:to>
      <xdr:col>3</xdr:col>
      <xdr:colOff>578556</xdr:colOff>
      <xdr:row>20</xdr:row>
      <xdr:rowOff>169333</xdr:rowOff>
    </xdr:to>
    <xdr:sp macro="" textlink="">
      <xdr:nvSpPr>
        <xdr:cNvPr id="48" name="TextBox 47"/>
        <xdr:cNvSpPr txBox="1"/>
      </xdr:nvSpPr>
      <xdr:spPr>
        <a:xfrm>
          <a:off x="1974169" y="3661831"/>
          <a:ext cx="650498" cy="261058"/>
        </a:xfrm>
        <a:prstGeom prst="roundRect">
          <a:avLst/>
        </a:prstGeom>
        <a:solidFill>
          <a:schemeClr val="tx1"/>
        </a:solidFill>
        <a:ln w="349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DAC</a:t>
          </a:r>
        </a:p>
      </xdr:txBody>
    </xdr:sp>
    <xdr:clientData/>
  </xdr:twoCellAnchor>
  <xdr:twoCellAnchor>
    <xdr:from>
      <xdr:col>4</xdr:col>
      <xdr:colOff>189088</xdr:colOff>
      <xdr:row>10</xdr:row>
      <xdr:rowOff>165099</xdr:rowOff>
    </xdr:from>
    <xdr:to>
      <xdr:col>5</xdr:col>
      <xdr:colOff>95979</xdr:colOff>
      <xdr:row>20</xdr:row>
      <xdr:rowOff>40921</xdr:rowOff>
    </xdr:to>
    <xdr:cxnSp macro="">
      <xdr:nvCxnSpPr>
        <xdr:cNvPr id="52" name="Elbow Connector 51"/>
        <xdr:cNvCxnSpPr>
          <a:stCxn id="47" idx="2"/>
          <a:endCxn id="2" idx="1"/>
        </xdr:cNvCxnSpPr>
      </xdr:nvCxnSpPr>
      <xdr:spPr>
        <a:xfrm rot="16200000" flipH="1">
          <a:off x="2662073" y="3178514"/>
          <a:ext cx="1907822" cy="833991"/>
        </a:xfrm>
        <a:prstGeom prst="bentConnector2">
          <a:avLst/>
        </a:prstGeom>
        <a:ln w="317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437445</xdr:colOff>
      <xdr:row>24</xdr:row>
      <xdr:rowOff>162279</xdr:rowOff>
    </xdr:from>
    <xdr:to>
      <xdr:col>22</xdr:col>
      <xdr:colOff>217314</xdr:colOff>
      <xdr:row>27</xdr:row>
      <xdr:rowOff>33867</xdr:rowOff>
    </xdr:to>
    <xdr:cxnSp macro="">
      <xdr:nvCxnSpPr>
        <xdr:cNvPr id="67" name="Elbow Connector 66"/>
        <xdr:cNvCxnSpPr>
          <a:stCxn id="4" idx="3"/>
          <a:endCxn id="6" idx="1"/>
        </xdr:cNvCxnSpPr>
      </xdr:nvCxnSpPr>
      <xdr:spPr>
        <a:xfrm>
          <a:off x="15601245" y="5483579"/>
          <a:ext cx="1684869" cy="481188"/>
        </a:xfrm>
        <a:prstGeom prst="bentConnector3">
          <a:avLst>
            <a:gd name="adj1" fmla="val 50000"/>
          </a:avLst>
        </a:prstGeom>
        <a:ln w="31750">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437445</xdr:colOff>
      <xdr:row>21</xdr:row>
      <xdr:rowOff>35982</xdr:rowOff>
    </xdr:from>
    <xdr:to>
      <xdr:col>22</xdr:col>
      <xdr:colOff>221546</xdr:colOff>
      <xdr:row>24</xdr:row>
      <xdr:rowOff>162279</xdr:rowOff>
    </xdr:to>
    <xdr:cxnSp macro="">
      <xdr:nvCxnSpPr>
        <xdr:cNvPr id="70" name="Elbow Connector 69"/>
        <xdr:cNvCxnSpPr>
          <a:stCxn id="4" idx="3"/>
          <a:endCxn id="5" idx="1"/>
        </xdr:cNvCxnSpPr>
      </xdr:nvCxnSpPr>
      <xdr:spPr>
        <a:xfrm flipV="1">
          <a:off x="15601245" y="4747682"/>
          <a:ext cx="1689101" cy="735897"/>
        </a:xfrm>
        <a:prstGeom prst="bentConnector3">
          <a:avLst>
            <a:gd name="adj1" fmla="val 50000"/>
          </a:avLst>
        </a:prstGeom>
        <a:ln w="3175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69144</xdr:colOff>
      <xdr:row>4</xdr:row>
      <xdr:rowOff>179211</xdr:rowOff>
    </xdr:from>
    <xdr:to>
      <xdr:col>14</xdr:col>
      <xdr:colOff>801511</xdr:colOff>
      <xdr:row>6</xdr:row>
      <xdr:rowOff>70556</xdr:rowOff>
    </xdr:to>
    <xdr:sp macro="" textlink="">
      <xdr:nvSpPr>
        <xdr:cNvPr id="26" name="TextBox 25"/>
        <xdr:cNvSpPr txBox="1"/>
      </xdr:nvSpPr>
      <xdr:spPr>
        <a:xfrm>
          <a:off x="9911644" y="1436511"/>
          <a:ext cx="948267" cy="297745"/>
        </a:xfrm>
        <a:prstGeom prst="roundRect">
          <a:avLst/>
        </a:prstGeom>
        <a:solidFill>
          <a:schemeClr val="bg2">
            <a:lumMod val="50000"/>
          </a:schemeClr>
        </a:solidFill>
        <a:ln w="349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 capture</a:t>
          </a:r>
        </a:p>
      </xdr:txBody>
    </xdr:sp>
    <xdr:clientData/>
  </xdr:twoCellAnchor>
  <xdr:twoCellAnchor>
    <xdr:from>
      <xdr:col>8</xdr:col>
      <xdr:colOff>874912</xdr:colOff>
      <xdr:row>4</xdr:row>
      <xdr:rowOff>180622</xdr:rowOff>
    </xdr:from>
    <xdr:to>
      <xdr:col>10</xdr:col>
      <xdr:colOff>42333</xdr:colOff>
      <xdr:row>6</xdr:row>
      <xdr:rowOff>112889</xdr:rowOff>
    </xdr:to>
    <xdr:sp macro="" textlink="">
      <xdr:nvSpPr>
        <xdr:cNvPr id="28" name="TextBox 27"/>
        <xdr:cNvSpPr txBox="1"/>
      </xdr:nvSpPr>
      <xdr:spPr>
        <a:xfrm>
          <a:off x="5954912" y="773289"/>
          <a:ext cx="903088" cy="327378"/>
        </a:xfrm>
        <a:prstGeom prst="roundRect">
          <a:avLst/>
        </a:prstGeom>
        <a:solidFill>
          <a:schemeClr val="accent3">
            <a:lumMod val="50000"/>
          </a:schemeClr>
        </a:solidFill>
        <a:ln w="317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Tata Steel</a:t>
          </a:r>
        </a:p>
      </xdr:txBody>
    </xdr:sp>
    <xdr:clientData/>
  </xdr:twoCellAnchor>
  <xdr:twoCellAnchor>
    <xdr:from>
      <xdr:col>10</xdr:col>
      <xdr:colOff>42333</xdr:colOff>
      <xdr:row>5</xdr:row>
      <xdr:rowOff>124884</xdr:rowOff>
    </xdr:from>
    <xdr:to>
      <xdr:col>13</xdr:col>
      <xdr:colOff>69144</xdr:colOff>
      <xdr:row>5</xdr:row>
      <xdr:rowOff>146756</xdr:rowOff>
    </xdr:to>
    <xdr:cxnSp macro="">
      <xdr:nvCxnSpPr>
        <xdr:cNvPr id="46" name="Straight Arrow Connector 45"/>
        <xdr:cNvCxnSpPr>
          <a:stCxn id="28" idx="3"/>
          <a:endCxn id="26" idx="1"/>
        </xdr:cNvCxnSpPr>
      </xdr:nvCxnSpPr>
      <xdr:spPr>
        <a:xfrm flipV="1">
          <a:off x="7179733" y="1585384"/>
          <a:ext cx="2731911" cy="21872"/>
        </a:xfrm>
        <a:prstGeom prst="straightConnector1">
          <a:avLst/>
        </a:prstGeom>
        <a:ln w="317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578556</xdr:colOff>
      <xdr:row>20</xdr:row>
      <xdr:rowOff>38804</xdr:rowOff>
    </xdr:from>
    <xdr:to>
      <xdr:col>5</xdr:col>
      <xdr:colOff>95980</xdr:colOff>
      <xdr:row>20</xdr:row>
      <xdr:rowOff>40921</xdr:rowOff>
    </xdr:to>
    <xdr:cxnSp macro="">
      <xdr:nvCxnSpPr>
        <xdr:cNvPr id="71" name="Straight Arrow Connector 70"/>
        <xdr:cNvCxnSpPr>
          <a:endCxn id="2" idx="1"/>
        </xdr:cNvCxnSpPr>
      </xdr:nvCxnSpPr>
      <xdr:spPr>
        <a:xfrm>
          <a:off x="2661356" y="4547304"/>
          <a:ext cx="1371624" cy="2117"/>
        </a:xfrm>
        <a:prstGeom prst="straightConnector1">
          <a:avLst/>
        </a:prstGeom>
        <a:ln w="31750">
          <a:solidFill>
            <a:schemeClr val="tx1">
              <a:lumMod val="95000"/>
              <a:lumOff val="5000"/>
            </a:schemeClr>
          </a:solidFill>
          <a:headEnd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46588</xdr:colOff>
      <xdr:row>27</xdr:row>
      <xdr:rowOff>163687</xdr:rowOff>
    </xdr:from>
    <xdr:to>
      <xdr:col>10</xdr:col>
      <xdr:colOff>605388</xdr:colOff>
      <xdr:row>29</xdr:row>
      <xdr:rowOff>29631</xdr:rowOff>
    </xdr:to>
    <xdr:sp macro="" textlink="">
      <xdr:nvSpPr>
        <xdr:cNvPr id="95" name="TextBox 94"/>
        <xdr:cNvSpPr txBox="1"/>
      </xdr:nvSpPr>
      <xdr:spPr>
        <a:xfrm>
          <a:off x="6862255" y="5300131"/>
          <a:ext cx="558800" cy="261056"/>
        </a:xfrm>
        <a:prstGeom prst="roundRect">
          <a:avLst/>
        </a:prstGeom>
        <a:solidFill>
          <a:schemeClr val="bg2">
            <a:lumMod val="50000"/>
          </a:schemeClr>
        </a:solidFill>
        <a:ln w="349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a:t>
          </a:r>
        </a:p>
      </xdr:txBody>
    </xdr:sp>
    <xdr:clientData/>
  </xdr:twoCellAnchor>
  <xdr:twoCellAnchor>
    <xdr:from>
      <xdr:col>7</xdr:col>
      <xdr:colOff>84667</xdr:colOff>
      <xdr:row>20</xdr:row>
      <xdr:rowOff>43743</xdr:rowOff>
    </xdr:from>
    <xdr:to>
      <xdr:col>10</xdr:col>
      <xdr:colOff>28243</xdr:colOff>
      <xdr:row>20</xdr:row>
      <xdr:rowOff>47270</xdr:rowOff>
    </xdr:to>
    <xdr:cxnSp macro="">
      <xdr:nvCxnSpPr>
        <xdr:cNvPr id="100" name="Straight Arrow Connector 99"/>
        <xdr:cNvCxnSpPr/>
      </xdr:nvCxnSpPr>
      <xdr:spPr>
        <a:xfrm>
          <a:off x="4938889" y="3797299"/>
          <a:ext cx="1905021" cy="3527"/>
        </a:xfrm>
        <a:prstGeom prst="straightConnector1">
          <a:avLst/>
        </a:prstGeom>
        <a:ln w="317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306930</xdr:colOff>
      <xdr:row>15</xdr:row>
      <xdr:rowOff>145341</xdr:rowOff>
    </xdr:from>
    <xdr:to>
      <xdr:col>10</xdr:col>
      <xdr:colOff>307643</xdr:colOff>
      <xdr:row>19</xdr:row>
      <xdr:rowOff>117120</xdr:rowOff>
    </xdr:to>
    <xdr:cxnSp macro="">
      <xdr:nvCxnSpPr>
        <xdr:cNvPr id="105" name="Straight Arrow Connector 104"/>
        <xdr:cNvCxnSpPr/>
      </xdr:nvCxnSpPr>
      <xdr:spPr>
        <a:xfrm>
          <a:off x="6896819" y="2713563"/>
          <a:ext cx="713" cy="762001"/>
        </a:xfrm>
        <a:prstGeom prst="straightConnector1">
          <a:avLst/>
        </a:prstGeom>
        <a:ln w="317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84667</xdr:colOff>
      <xdr:row>20</xdr:row>
      <xdr:rowOff>43743</xdr:rowOff>
    </xdr:from>
    <xdr:to>
      <xdr:col>10</xdr:col>
      <xdr:colOff>46588</xdr:colOff>
      <xdr:row>28</xdr:row>
      <xdr:rowOff>96659</xdr:rowOff>
    </xdr:to>
    <xdr:cxnSp macro="">
      <xdr:nvCxnSpPr>
        <xdr:cNvPr id="142" name="Elbow Connector 141"/>
        <xdr:cNvCxnSpPr>
          <a:endCxn id="95" idx="1"/>
        </xdr:cNvCxnSpPr>
      </xdr:nvCxnSpPr>
      <xdr:spPr>
        <a:xfrm>
          <a:off x="5088467" y="4552243"/>
          <a:ext cx="2095521" cy="1678516"/>
        </a:xfrm>
        <a:prstGeom prst="bentConnector3">
          <a:avLst>
            <a:gd name="adj1" fmla="val 50000"/>
          </a:avLst>
        </a:prstGeom>
        <a:ln w="317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571514</xdr:colOff>
      <xdr:row>14</xdr:row>
      <xdr:rowOff>189791</xdr:rowOff>
    </xdr:from>
    <xdr:to>
      <xdr:col>19</xdr:col>
      <xdr:colOff>143934</xdr:colOff>
      <xdr:row>24</xdr:row>
      <xdr:rowOff>9879</xdr:rowOff>
    </xdr:to>
    <xdr:cxnSp macro="">
      <xdr:nvCxnSpPr>
        <xdr:cNvPr id="152" name="Elbow Connector 151"/>
        <xdr:cNvCxnSpPr>
          <a:endCxn id="4" idx="0"/>
        </xdr:cNvCxnSpPr>
      </xdr:nvCxnSpPr>
      <xdr:spPr>
        <a:xfrm>
          <a:off x="7708914" y="3479091"/>
          <a:ext cx="7598820" cy="1852088"/>
        </a:xfrm>
        <a:prstGeom prst="bentConnector2">
          <a:avLst/>
        </a:prstGeom>
        <a:ln w="317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407823</xdr:colOff>
      <xdr:row>10</xdr:row>
      <xdr:rowOff>126999</xdr:rowOff>
    </xdr:from>
    <xdr:to>
      <xdr:col>16</xdr:col>
      <xdr:colOff>254008</xdr:colOff>
      <xdr:row>19</xdr:row>
      <xdr:rowOff>101599</xdr:rowOff>
    </xdr:to>
    <xdr:cxnSp macro="">
      <xdr:nvCxnSpPr>
        <xdr:cNvPr id="32" name="Elbow Connector 31"/>
        <xdr:cNvCxnSpPr>
          <a:stCxn id="2" idx="0"/>
          <a:endCxn id="39" idx="1"/>
        </xdr:cNvCxnSpPr>
      </xdr:nvCxnSpPr>
      <xdr:spPr>
        <a:xfrm rot="5400000" flipH="1" flipV="1">
          <a:off x="7176216" y="-11994"/>
          <a:ext cx="1803400" cy="7034385"/>
        </a:xfrm>
        <a:prstGeom prst="bentConnector2">
          <a:avLst/>
        </a:prstGeom>
        <a:ln w="317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571514</xdr:colOff>
      <xdr:row>11</xdr:row>
      <xdr:rowOff>84666</xdr:rowOff>
    </xdr:from>
    <xdr:to>
      <xdr:col>16</xdr:col>
      <xdr:colOff>816333</xdr:colOff>
      <xdr:row>14</xdr:row>
      <xdr:rowOff>192613</xdr:rowOff>
    </xdr:to>
    <xdr:cxnSp macro="">
      <xdr:nvCxnSpPr>
        <xdr:cNvPr id="35" name="Elbow Connector 34"/>
        <xdr:cNvCxnSpPr>
          <a:stCxn id="3" idx="3"/>
          <a:endCxn id="39" idx="2"/>
        </xdr:cNvCxnSpPr>
      </xdr:nvCxnSpPr>
      <xdr:spPr>
        <a:xfrm flipV="1">
          <a:off x="7708914" y="2764366"/>
          <a:ext cx="4448519" cy="717547"/>
        </a:xfrm>
        <a:prstGeom prst="bentConnector2">
          <a:avLst/>
        </a:prstGeom>
        <a:ln w="317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254009</xdr:colOff>
      <xdr:row>9</xdr:row>
      <xdr:rowOff>169330</xdr:rowOff>
    </xdr:from>
    <xdr:to>
      <xdr:col>17</xdr:col>
      <xdr:colOff>451556</xdr:colOff>
      <xdr:row>11</xdr:row>
      <xdr:rowOff>84666</xdr:rowOff>
    </xdr:to>
    <xdr:sp macro="" textlink="">
      <xdr:nvSpPr>
        <xdr:cNvPr id="39" name="TextBox 38"/>
        <xdr:cNvSpPr txBox="1"/>
      </xdr:nvSpPr>
      <xdr:spPr>
        <a:xfrm>
          <a:off x="10809120" y="1749774"/>
          <a:ext cx="1128880" cy="310448"/>
        </a:xfrm>
        <a:prstGeom prst="roundRect">
          <a:avLst/>
        </a:prstGeom>
        <a:solidFill>
          <a:schemeClr val="accent2">
            <a:lumMod val="50000"/>
          </a:schemeClr>
        </a:solidFill>
        <a:ln w="349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MeOH synthesis</a:t>
          </a:r>
        </a:p>
      </xdr:txBody>
    </xdr:sp>
    <xdr:clientData/>
  </xdr:twoCellAnchor>
  <xdr:twoCellAnchor>
    <xdr:from>
      <xdr:col>20</xdr:col>
      <xdr:colOff>26810</xdr:colOff>
      <xdr:row>14</xdr:row>
      <xdr:rowOff>28219</xdr:rowOff>
    </xdr:from>
    <xdr:to>
      <xdr:col>21</xdr:col>
      <xdr:colOff>152400</xdr:colOff>
      <xdr:row>15</xdr:row>
      <xdr:rowOff>148164</xdr:rowOff>
    </xdr:to>
    <xdr:sp macro="" textlink="">
      <xdr:nvSpPr>
        <xdr:cNvPr id="49" name="TextBox 48"/>
        <xdr:cNvSpPr txBox="1"/>
      </xdr:nvSpPr>
      <xdr:spPr>
        <a:xfrm>
          <a:off x="15889110" y="3317519"/>
          <a:ext cx="1103490" cy="323145"/>
        </a:xfrm>
        <a:prstGeom prst="roundRect">
          <a:avLst/>
        </a:prstGeom>
        <a:solidFill>
          <a:schemeClr val="accent1">
            <a:lumMod val="50000"/>
          </a:schemeClr>
        </a:solidFill>
        <a:ln w="349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MeOH Upgrade</a:t>
          </a:r>
        </a:p>
      </xdr:txBody>
    </xdr:sp>
    <xdr:clientData/>
  </xdr:twoCellAnchor>
  <xdr:twoCellAnchor>
    <xdr:from>
      <xdr:col>16</xdr:col>
      <xdr:colOff>211673</xdr:colOff>
      <xdr:row>19</xdr:row>
      <xdr:rowOff>112889</xdr:rowOff>
    </xdr:from>
    <xdr:to>
      <xdr:col>17</xdr:col>
      <xdr:colOff>183445</xdr:colOff>
      <xdr:row>20</xdr:row>
      <xdr:rowOff>183444</xdr:rowOff>
    </xdr:to>
    <xdr:sp macro="" textlink="">
      <xdr:nvSpPr>
        <xdr:cNvPr id="91" name="TextBox 90"/>
        <xdr:cNvSpPr txBox="1"/>
      </xdr:nvSpPr>
      <xdr:spPr>
        <a:xfrm>
          <a:off x="10766784" y="3668889"/>
          <a:ext cx="903105" cy="268111"/>
        </a:xfrm>
        <a:prstGeom prst="roundRect">
          <a:avLst/>
        </a:prstGeom>
        <a:solidFill>
          <a:schemeClr val="bg2">
            <a:lumMod val="50000"/>
          </a:schemeClr>
        </a:solidFill>
        <a:ln w="349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CO</a:t>
          </a:r>
          <a:r>
            <a:rPr lang="en-US" sz="1100" baseline="0">
              <a:solidFill>
                <a:schemeClr val="bg1"/>
              </a:solidFill>
            </a:rPr>
            <a:t> available</a:t>
          </a:r>
          <a:r>
            <a:rPr lang="en-US" sz="1100"/>
            <a:t> </a:t>
          </a:r>
        </a:p>
      </xdr:txBody>
    </xdr:sp>
    <xdr:clientData/>
  </xdr:twoCellAnchor>
  <xdr:twoCellAnchor>
    <xdr:from>
      <xdr:col>14</xdr:col>
      <xdr:colOff>801511</xdr:colOff>
      <xdr:row>5</xdr:row>
      <xdr:rowOff>124884</xdr:rowOff>
    </xdr:from>
    <xdr:to>
      <xdr:col>16</xdr:col>
      <xdr:colOff>816333</xdr:colOff>
      <xdr:row>9</xdr:row>
      <xdr:rowOff>169330</xdr:rowOff>
    </xdr:to>
    <xdr:cxnSp macro="">
      <xdr:nvCxnSpPr>
        <xdr:cNvPr id="106" name="Elbow Connector 105"/>
        <xdr:cNvCxnSpPr>
          <a:stCxn id="26" idx="3"/>
          <a:endCxn id="39" idx="0"/>
        </xdr:cNvCxnSpPr>
      </xdr:nvCxnSpPr>
      <xdr:spPr>
        <a:xfrm>
          <a:off x="10859911" y="1585384"/>
          <a:ext cx="1297522" cy="857246"/>
        </a:xfrm>
        <a:prstGeom prst="bentConnector2">
          <a:avLst/>
        </a:prstGeom>
        <a:ln w="317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327378</xdr:colOff>
      <xdr:row>6</xdr:row>
      <xdr:rowOff>70555</xdr:rowOff>
    </xdr:from>
    <xdr:to>
      <xdr:col>16</xdr:col>
      <xdr:colOff>211673</xdr:colOff>
      <xdr:row>20</xdr:row>
      <xdr:rowOff>46566</xdr:rowOff>
    </xdr:to>
    <xdr:cxnSp macro="">
      <xdr:nvCxnSpPr>
        <xdr:cNvPr id="109" name="Elbow Connector 108"/>
        <xdr:cNvCxnSpPr>
          <a:stCxn id="26" idx="2"/>
          <a:endCxn id="91" idx="1"/>
        </xdr:cNvCxnSpPr>
      </xdr:nvCxnSpPr>
      <xdr:spPr>
        <a:xfrm rot="16200000" flipH="1">
          <a:off x="9558870" y="2561163"/>
          <a:ext cx="2820811" cy="1166995"/>
        </a:xfrm>
        <a:prstGeom prst="bentConnector2">
          <a:avLst/>
        </a:prstGeom>
        <a:ln w="3175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587043</xdr:colOff>
      <xdr:row>20</xdr:row>
      <xdr:rowOff>47270</xdr:rowOff>
    </xdr:from>
    <xdr:to>
      <xdr:col>16</xdr:col>
      <xdr:colOff>211673</xdr:colOff>
      <xdr:row>20</xdr:row>
      <xdr:rowOff>49389</xdr:rowOff>
    </xdr:to>
    <xdr:cxnSp macro="">
      <xdr:nvCxnSpPr>
        <xdr:cNvPr id="122" name="Straight Arrow Connector 121"/>
        <xdr:cNvCxnSpPr/>
      </xdr:nvCxnSpPr>
      <xdr:spPr>
        <a:xfrm>
          <a:off x="7402710" y="3800826"/>
          <a:ext cx="3364074" cy="2119"/>
        </a:xfrm>
        <a:prstGeom prst="straightConnector1">
          <a:avLst/>
        </a:prstGeom>
        <a:ln w="317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605388</xdr:colOff>
      <xdr:row>20</xdr:row>
      <xdr:rowOff>49389</xdr:rowOff>
    </xdr:from>
    <xdr:to>
      <xdr:col>16</xdr:col>
      <xdr:colOff>211673</xdr:colOff>
      <xdr:row>28</xdr:row>
      <xdr:rowOff>96659</xdr:rowOff>
    </xdr:to>
    <xdr:cxnSp macro="">
      <xdr:nvCxnSpPr>
        <xdr:cNvPr id="125" name="Elbow Connector 124"/>
        <xdr:cNvCxnSpPr/>
      </xdr:nvCxnSpPr>
      <xdr:spPr>
        <a:xfrm flipV="1">
          <a:off x="7421055" y="3802945"/>
          <a:ext cx="3345729" cy="1627714"/>
        </a:xfrm>
        <a:prstGeom prst="bentConnector3">
          <a:avLst>
            <a:gd name="adj1" fmla="val 69291"/>
          </a:avLst>
        </a:prstGeom>
        <a:ln w="317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578554</xdr:colOff>
      <xdr:row>15</xdr:row>
      <xdr:rowOff>148164</xdr:rowOff>
    </xdr:from>
    <xdr:to>
      <xdr:col>22</xdr:col>
      <xdr:colOff>221545</xdr:colOff>
      <xdr:row>21</xdr:row>
      <xdr:rowOff>35982</xdr:rowOff>
    </xdr:to>
    <xdr:cxnSp macro="">
      <xdr:nvCxnSpPr>
        <xdr:cNvPr id="131" name="Elbow Connector 130"/>
        <xdr:cNvCxnSpPr>
          <a:stCxn id="49" idx="2"/>
          <a:endCxn id="5" idx="1"/>
        </xdr:cNvCxnSpPr>
      </xdr:nvCxnSpPr>
      <xdr:spPr>
        <a:xfrm rot="16200000" flipH="1">
          <a:off x="16312091" y="3769427"/>
          <a:ext cx="1107018" cy="849491"/>
        </a:xfrm>
        <a:prstGeom prst="bentConnector2">
          <a:avLst/>
        </a:prstGeom>
        <a:ln w="3175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661110</xdr:colOff>
      <xdr:row>20</xdr:row>
      <xdr:rowOff>183443</xdr:rowOff>
    </xdr:from>
    <xdr:to>
      <xdr:col>18</xdr:col>
      <xdr:colOff>904524</xdr:colOff>
      <xdr:row>24</xdr:row>
      <xdr:rowOff>162278</xdr:rowOff>
    </xdr:to>
    <xdr:cxnSp macro="">
      <xdr:nvCxnSpPr>
        <xdr:cNvPr id="134" name="Elbow Connector 133"/>
        <xdr:cNvCxnSpPr>
          <a:stCxn id="91" idx="2"/>
          <a:endCxn id="4" idx="1"/>
        </xdr:cNvCxnSpPr>
      </xdr:nvCxnSpPr>
      <xdr:spPr>
        <a:xfrm rot="16200000" flipH="1">
          <a:off x="13112399" y="3581754"/>
          <a:ext cx="791635" cy="3012014"/>
        </a:xfrm>
        <a:prstGeom prst="bentConnector2">
          <a:avLst/>
        </a:prstGeom>
        <a:ln w="317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189090</xdr:colOff>
      <xdr:row>5</xdr:row>
      <xdr:rowOff>146756</xdr:rowOff>
    </xdr:from>
    <xdr:to>
      <xdr:col>8</xdr:col>
      <xdr:colOff>874913</xdr:colOff>
      <xdr:row>9</xdr:row>
      <xdr:rowOff>90308</xdr:rowOff>
    </xdr:to>
    <xdr:cxnSp macro="">
      <xdr:nvCxnSpPr>
        <xdr:cNvPr id="137" name="Elbow Connector 136"/>
        <xdr:cNvCxnSpPr>
          <a:stCxn id="28" idx="1"/>
          <a:endCxn id="47" idx="0"/>
        </xdr:cNvCxnSpPr>
      </xdr:nvCxnSpPr>
      <xdr:spPr>
        <a:xfrm rot="10800000" flipV="1">
          <a:off x="3198990" y="1607256"/>
          <a:ext cx="2908323" cy="756352"/>
        </a:xfrm>
        <a:prstGeom prst="bentConnector2">
          <a:avLst/>
        </a:prstGeom>
        <a:ln w="317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304814</xdr:colOff>
      <xdr:row>14</xdr:row>
      <xdr:rowOff>189792</xdr:rowOff>
    </xdr:from>
    <xdr:to>
      <xdr:col>20</xdr:col>
      <xdr:colOff>26810</xdr:colOff>
      <xdr:row>14</xdr:row>
      <xdr:rowOff>192614</xdr:rowOff>
    </xdr:to>
    <xdr:cxnSp macro="">
      <xdr:nvCxnSpPr>
        <xdr:cNvPr id="59" name="Elbow Connector 58"/>
        <xdr:cNvCxnSpPr>
          <a:endCxn id="49" idx="1"/>
        </xdr:cNvCxnSpPr>
      </xdr:nvCxnSpPr>
      <xdr:spPr>
        <a:xfrm flipV="1">
          <a:off x="7442214" y="3479092"/>
          <a:ext cx="8446896" cy="2822"/>
        </a:xfrm>
        <a:prstGeom prst="bentConnector3">
          <a:avLst>
            <a:gd name="adj1" fmla="val 50000"/>
          </a:avLst>
        </a:prstGeom>
        <a:ln w="317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197556</xdr:colOff>
      <xdr:row>10</xdr:row>
      <xdr:rowOff>152398</xdr:rowOff>
    </xdr:from>
    <xdr:to>
      <xdr:col>20</xdr:col>
      <xdr:colOff>578555</xdr:colOff>
      <xdr:row>14</xdr:row>
      <xdr:rowOff>28219</xdr:rowOff>
    </xdr:to>
    <xdr:cxnSp macro="">
      <xdr:nvCxnSpPr>
        <xdr:cNvPr id="65" name="Elbow Connector 64"/>
        <xdr:cNvCxnSpPr>
          <a:endCxn id="49" idx="0"/>
        </xdr:cNvCxnSpPr>
      </xdr:nvCxnSpPr>
      <xdr:spPr>
        <a:xfrm>
          <a:off x="12465756" y="2628898"/>
          <a:ext cx="3975099" cy="688621"/>
        </a:xfrm>
        <a:prstGeom prst="bentConnector2">
          <a:avLst/>
        </a:prstGeom>
        <a:ln w="31750">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650535</xdr:colOff>
      <xdr:row>11</xdr:row>
      <xdr:rowOff>134052</xdr:rowOff>
    </xdr:from>
    <xdr:to>
      <xdr:col>10</xdr:col>
      <xdr:colOff>736601</xdr:colOff>
      <xdr:row>13</xdr:row>
      <xdr:rowOff>39508</xdr:rowOff>
    </xdr:to>
    <xdr:sp macro="" textlink="">
      <xdr:nvSpPr>
        <xdr:cNvPr id="36" name="TextBox 35"/>
        <xdr:cNvSpPr txBox="1"/>
      </xdr:nvSpPr>
      <xdr:spPr>
        <a:xfrm>
          <a:off x="6784635" y="2153352"/>
          <a:ext cx="860766" cy="311856"/>
        </a:xfrm>
        <a:prstGeom prst="roundRect">
          <a:avLst/>
        </a:prstGeom>
        <a:solidFill>
          <a:schemeClr val="accent6">
            <a:lumMod val="75000"/>
          </a:schemeClr>
        </a:solidFill>
        <a:ln w="349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H2 storage</a:t>
          </a:r>
        </a:p>
      </xdr:txBody>
    </xdr:sp>
    <xdr:clientData/>
  </xdr:twoCellAnchor>
  <xdr:twoCellAnchor>
    <xdr:from>
      <xdr:col>10</xdr:col>
      <xdr:colOff>306218</xdr:colOff>
      <xdr:row>13</xdr:row>
      <xdr:rowOff>39508</xdr:rowOff>
    </xdr:from>
    <xdr:to>
      <xdr:col>10</xdr:col>
      <xdr:colOff>306930</xdr:colOff>
      <xdr:row>14</xdr:row>
      <xdr:rowOff>36685</xdr:rowOff>
    </xdr:to>
    <xdr:cxnSp macro="">
      <xdr:nvCxnSpPr>
        <xdr:cNvPr id="37" name="Straight Arrow Connector 36"/>
        <xdr:cNvCxnSpPr/>
      </xdr:nvCxnSpPr>
      <xdr:spPr>
        <a:xfrm>
          <a:off x="7215018" y="2465208"/>
          <a:ext cx="712" cy="200377"/>
        </a:xfrm>
        <a:prstGeom prst="straightConnector1">
          <a:avLst/>
        </a:prstGeom>
        <a:ln w="31750">
          <a:solidFill>
            <a:schemeClr val="accent6">
              <a:lumMod val="75000"/>
            </a:schemeClr>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330199</xdr:colOff>
      <xdr:row>41</xdr:row>
      <xdr:rowOff>114299</xdr:rowOff>
    </xdr:from>
    <xdr:to>
      <xdr:col>18</xdr:col>
      <xdr:colOff>349827</xdr:colOff>
      <xdr:row>64</xdr:row>
      <xdr:rowOff>81970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xdr:row>
      <xdr:rowOff>1</xdr:rowOff>
    </xdr:from>
    <xdr:to>
      <xdr:col>7</xdr:col>
      <xdr:colOff>677718</xdr:colOff>
      <xdr:row>7</xdr:row>
      <xdr:rowOff>114301</xdr:rowOff>
    </xdr:to>
    <xdr:sp macro="" textlink="">
      <xdr:nvSpPr>
        <xdr:cNvPr id="5" name="TextBox 4"/>
        <xdr:cNvSpPr txBox="1"/>
      </xdr:nvSpPr>
      <xdr:spPr>
        <a:xfrm>
          <a:off x="1651000" y="1143001"/>
          <a:ext cx="6443518"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In this sheet </a:t>
          </a:r>
          <a:r>
            <a:rPr lang="en-US" sz="1100" baseline="0"/>
            <a:t>CO2-eq emissions are calculated bottom up from the individual process stages. With that information, the CO2-eq emissions per tonne of kerosene are calculated.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444500</xdr:colOff>
      <xdr:row>8</xdr:row>
      <xdr:rowOff>190499</xdr:rowOff>
    </xdr:from>
    <xdr:to>
      <xdr:col>13</xdr:col>
      <xdr:colOff>190500</xdr:colOff>
      <xdr:row>23</xdr:row>
      <xdr:rowOff>191348</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0" y="1879599"/>
          <a:ext cx="4800600" cy="3048849"/>
        </a:xfrm>
        <a:prstGeom prst="rect">
          <a:avLst/>
        </a:prstGeom>
      </xdr:spPr>
    </xdr:pic>
    <xdr:clientData/>
  </xdr:twoCellAnchor>
  <xdr:twoCellAnchor>
    <xdr:from>
      <xdr:col>1</xdr:col>
      <xdr:colOff>38100</xdr:colOff>
      <xdr:row>2</xdr:row>
      <xdr:rowOff>139700</xdr:rowOff>
    </xdr:from>
    <xdr:to>
      <xdr:col>7</xdr:col>
      <xdr:colOff>63500</xdr:colOff>
      <xdr:row>10</xdr:row>
      <xdr:rowOff>12700</xdr:rowOff>
    </xdr:to>
    <xdr:sp macro="" textlink="">
      <xdr:nvSpPr>
        <xdr:cNvPr id="3" name="TextBox 2"/>
        <xdr:cNvSpPr txBox="1"/>
      </xdr:nvSpPr>
      <xdr:spPr>
        <a:xfrm>
          <a:off x="863600" y="609600"/>
          <a:ext cx="5613400" cy="149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In this sheet the availability of CO and CO2 in Tata Steel IJmuiden's</a:t>
          </a:r>
          <a:r>
            <a:rPr lang="en-US" sz="1100" baseline="0"/>
            <a:t> Blast Furnace Gas (BFG) and Basic Oxygen Furnace Gas (BOFG) is calculated, as well as the oxygen consumption and price. </a:t>
          </a:r>
        </a:p>
        <a:p>
          <a:pPr algn="l"/>
          <a:r>
            <a:rPr lang="en-US" sz="1100" baseline="0"/>
            <a:t>The BFG is by far the largest off-gas flow in a typical BOF-BF steelplant like Tata's (see table 1). </a:t>
          </a:r>
          <a:r>
            <a:rPr lang="en-US" sz="1100" b="0" i="0" u="none" strike="noStrike">
              <a:solidFill>
                <a:schemeClr val="dk1"/>
              </a:solidFill>
              <a:effectLst/>
              <a:latin typeface="+mn-lt"/>
              <a:ea typeface="+mn-ea"/>
              <a:cs typeface="+mn-cs"/>
            </a:rPr>
            <a:t>Typically, 69% of CO2 originates from BFG, 7% from BOF gas and 6% from COG.</a:t>
          </a:r>
          <a:r>
            <a:rPr lang="en-US"/>
            <a:t> The streams available</a:t>
          </a:r>
          <a:r>
            <a:rPr lang="en-US" baseline="0"/>
            <a:t> for capture are the BFG and BOFG.</a:t>
          </a:r>
        </a:p>
        <a:p>
          <a:pPr algn="l"/>
          <a:r>
            <a:rPr lang="en-US" sz="1100" baseline="0"/>
            <a:t>Tata Steel currently produces the oxygen it requires for BF and BOF operation through cryogenic air separation. The total oxygen consumption is estimated, as well as the oxygen production price, which forms an upper limit on the buying price.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419100</xdr:colOff>
      <xdr:row>128</xdr:row>
      <xdr:rowOff>12700</xdr:rowOff>
    </xdr:from>
    <xdr:to>
      <xdr:col>15</xdr:col>
      <xdr:colOff>317500</xdr:colOff>
      <xdr:row>149</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18</xdr:col>
      <xdr:colOff>304800</xdr:colOff>
      <xdr:row>83</xdr:row>
      <xdr:rowOff>152400</xdr:rowOff>
    </xdr:from>
    <xdr:ext cx="184731" cy="264560"/>
    <xdr:sp macro="" textlink="">
      <xdr:nvSpPr>
        <xdr:cNvPr id="27" name="TextBox 26"/>
        <xdr:cNvSpPr txBox="1"/>
      </xdr:nvSpPr>
      <xdr:spPr>
        <a:xfrm>
          <a:off x="17487900" y="171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J344"/>
  <sheetViews>
    <sheetView tabSelected="1" workbookViewId="0"/>
  </sheetViews>
  <sheetFormatPr baseColWidth="10" defaultRowHeight="16" x14ac:dyDescent="0.2"/>
  <cols>
    <col min="3" max="3" width="5.83203125" customWidth="1"/>
    <col min="5" max="5" width="11.33203125" customWidth="1"/>
  </cols>
  <sheetData>
    <row r="1" spans="2:10" s="13" customFormat="1" x14ac:dyDescent="0.2"/>
    <row r="2" spans="2:10" s="13" customFormat="1" x14ac:dyDescent="0.2"/>
    <row r="3" spans="2:10" s="13" customFormat="1" ht="29" x14ac:dyDescent="0.35">
      <c r="B3" s="84" t="s">
        <v>565</v>
      </c>
    </row>
    <row r="4" spans="2:10" s="13" customFormat="1" x14ac:dyDescent="0.2"/>
    <row r="5" spans="2:10" s="13" customFormat="1" ht="24" x14ac:dyDescent="0.3">
      <c r="B5" s="58" t="s">
        <v>566</v>
      </c>
    </row>
    <row r="6" spans="2:10" s="13" customFormat="1" ht="19" x14ac:dyDescent="0.25">
      <c r="B6" s="95" t="s">
        <v>639</v>
      </c>
      <c r="J6" s="13" t="s">
        <v>640</v>
      </c>
    </row>
    <row r="7" spans="2:10" s="13" customFormat="1" x14ac:dyDescent="0.2"/>
    <row r="8" spans="2:10" s="13" customFormat="1" x14ac:dyDescent="0.2">
      <c r="B8" s="13" t="s">
        <v>644</v>
      </c>
    </row>
    <row r="9" spans="2:10" s="13" customFormat="1" x14ac:dyDescent="0.2">
      <c r="B9" s="13" t="s">
        <v>643</v>
      </c>
      <c r="C9" s="43"/>
    </row>
    <row r="10" spans="2:10" s="13" customFormat="1" x14ac:dyDescent="0.2">
      <c r="C10" s="43"/>
    </row>
    <row r="11" spans="2:10" s="13" customFormat="1" x14ac:dyDescent="0.2">
      <c r="B11" s="13" t="s">
        <v>636</v>
      </c>
      <c r="C11" s="43"/>
    </row>
    <row r="12" spans="2:10" s="13" customFormat="1" x14ac:dyDescent="0.2">
      <c r="B12" s="13" t="s">
        <v>645</v>
      </c>
      <c r="C12" s="43"/>
    </row>
    <row r="13" spans="2:10" s="13" customFormat="1" x14ac:dyDescent="0.2">
      <c r="B13"/>
      <c r="C13" s="43"/>
    </row>
    <row r="14" spans="2:10" s="13" customFormat="1" x14ac:dyDescent="0.2">
      <c r="B14" s="23" t="s">
        <v>634</v>
      </c>
      <c r="C14" s="43"/>
    </row>
    <row r="15" spans="2:10" s="13" customFormat="1" x14ac:dyDescent="0.2">
      <c r="B15" s="23"/>
      <c r="C15" s="43"/>
    </row>
    <row r="16" spans="2:10" s="13" customFormat="1" x14ac:dyDescent="0.2">
      <c r="B16" s="13" t="s">
        <v>567</v>
      </c>
    </row>
    <row r="17" spans="2:7" s="13" customFormat="1" x14ac:dyDescent="0.2">
      <c r="B17" s="142"/>
      <c r="D17" s="13" t="s">
        <v>565</v>
      </c>
      <c r="F17" s="13" t="s">
        <v>607</v>
      </c>
    </row>
    <row r="18" spans="2:7" s="13" customFormat="1" x14ac:dyDescent="0.2">
      <c r="B18" s="123"/>
      <c r="C18" s="43"/>
      <c r="D18" s="43" t="s">
        <v>381</v>
      </c>
      <c r="F18" s="13" t="s">
        <v>635</v>
      </c>
    </row>
    <row r="19" spans="2:7" s="13" customFormat="1" x14ac:dyDescent="0.2">
      <c r="B19" s="69"/>
      <c r="C19" s="43"/>
      <c r="D19" s="43" t="s">
        <v>604</v>
      </c>
      <c r="F19" s="13" t="s">
        <v>608</v>
      </c>
    </row>
    <row r="20" spans="2:7" s="13" customFormat="1" x14ac:dyDescent="0.2">
      <c r="B20" s="141"/>
      <c r="C20" s="43"/>
      <c r="D20" s="13" t="s">
        <v>605</v>
      </c>
      <c r="F20" s="13" t="s">
        <v>609</v>
      </c>
    </row>
    <row r="21" spans="2:7" s="13" customFormat="1" x14ac:dyDescent="0.2">
      <c r="B21" s="141"/>
      <c r="C21" s="43"/>
      <c r="D21" s="13" t="s">
        <v>606</v>
      </c>
      <c r="F21" s="13" t="s">
        <v>610</v>
      </c>
    </row>
    <row r="22" spans="2:7" s="13" customFormat="1" x14ac:dyDescent="0.2">
      <c r="B22" s="124"/>
      <c r="C22" s="43"/>
      <c r="D22" s="43" t="s">
        <v>435</v>
      </c>
      <c r="F22" s="13" t="s">
        <v>611</v>
      </c>
    </row>
    <row r="23" spans="2:7" s="13" customFormat="1" x14ac:dyDescent="0.2">
      <c r="C23" s="43"/>
    </row>
    <row r="24" spans="2:7" s="13" customFormat="1" x14ac:dyDescent="0.2"/>
    <row r="25" spans="2:7" s="13" customFormat="1" x14ac:dyDescent="0.2">
      <c r="F25" s="80"/>
      <c r="G25" s="80"/>
    </row>
    <row r="26" spans="2:7" s="13" customFormat="1" x14ac:dyDescent="0.2"/>
    <row r="27" spans="2:7" s="13" customFormat="1" x14ac:dyDescent="0.2"/>
    <row r="28" spans="2:7" s="13" customFormat="1" x14ac:dyDescent="0.2"/>
    <row r="29" spans="2:7" s="13" customFormat="1" x14ac:dyDescent="0.2"/>
    <row r="30" spans="2:7" s="13" customFormat="1" x14ac:dyDescent="0.2"/>
    <row r="31" spans="2:7" s="13" customFormat="1" x14ac:dyDescent="0.2"/>
    <row r="32" spans="2:7" s="13" customFormat="1" x14ac:dyDescent="0.2"/>
    <row r="33" spans="3:3" s="13" customFormat="1" x14ac:dyDescent="0.2">
      <c r="C33" s="122"/>
    </row>
    <row r="34" spans="3:3" s="13" customFormat="1" x14ac:dyDescent="0.2">
      <c r="C34" s="122"/>
    </row>
    <row r="35" spans="3:3" s="13" customFormat="1" x14ac:dyDescent="0.2">
      <c r="C35" s="122"/>
    </row>
    <row r="36" spans="3:3" s="13" customFormat="1" x14ac:dyDescent="0.2">
      <c r="C36" s="122"/>
    </row>
    <row r="37" spans="3:3" s="13" customFormat="1" x14ac:dyDescent="0.2">
      <c r="C37" s="122"/>
    </row>
    <row r="38" spans="3:3" s="13" customFormat="1" x14ac:dyDescent="0.2">
      <c r="C38" s="122"/>
    </row>
    <row r="39" spans="3:3" s="13" customFormat="1" x14ac:dyDescent="0.2">
      <c r="C39" s="122"/>
    </row>
    <row r="40" spans="3:3" s="13" customFormat="1" x14ac:dyDescent="0.2">
      <c r="C40" s="122"/>
    </row>
    <row r="41" spans="3:3" s="13" customFormat="1" x14ac:dyDescent="0.2">
      <c r="C41" s="122"/>
    </row>
    <row r="42" spans="3:3" s="13" customFormat="1" x14ac:dyDescent="0.2">
      <c r="C42" s="122"/>
    </row>
    <row r="43" spans="3:3" s="13" customFormat="1" x14ac:dyDescent="0.2">
      <c r="C43" s="122"/>
    </row>
    <row r="44" spans="3:3" s="13" customFormat="1" x14ac:dyDescent="0.2">
      <c r="C44" s="122"/>
    </row>
    <row r="45" spans="3:3" s="13" customFormat="1" x14ac:dyDescent="0.2">
      <c r="C45" s="122"/>
    </row>
    <row r="46" spans="3:3" s="13" customFormat="1" x14ac:dyDescent="0.2">
      <c r="C46" s="122"/>
    </row>
    <row r="47" spans="3:3" s="13" customFormat="1" x14ac:dyDescent="0.2">
      <c r="C47" s="122"/>
    </row>
    <row r="48" spans="3:3" s="13" customFormat="1" x14ac:dyDescent="0.2">
      <c r="C48" s="122"/>
    </row>
    <row r="49" spans="3:3" s="13" customFormat="1" x14ac:dyDescent="0.2">
      <c r="C49" s="122"/>
    </row>
    <row r="50" spans="3:3" s="13" customFormat="1" x14ac:dyDescent="0.2">
      <c r="C50" s="43"/>
    </row>
    <row r="51" spans="3:3" s="13" customFormat="1" x14ac:dyDescent="0.2">
      <c r="C51" s="44"/>
    </row>
    <row r="52" spans="3:3" s="13" customFormat="1" x14ac:dyDescent="0.2">
      <c r="C52" s="43"/>
    </row>
    <row r="53" spans="3:3" s="13" customFormat="1" x14ac:dyDescent="0.2">
      <c r="C53" s="43"/>
    </row>
    <row r="54" spans="3:3" s="13" customFormat="1" x14ac:dyDescent="0.2"/>
    <row r="55" spans="3:3" s="13" customFormat="1" x14ac:dyDescent="0.2"/>
    <row r="56" spans="3:3" s="13" customFormat="1" x14ac:dyDescent="0.2">
      <c r="C56" s="43"/>
    </row>
    <row r="57" spans="3:3" s="13" customFormat="1" x14ac:dyDescent="0.2">
      <c r="C57" s="43"/>
    </row>
    <row r="58" spans="3:3" s="13" customFormat="1" x14ac:dyDescent="0.2">
      <c r="C58" s="43"/>
    </row>
    <row r="59" spans="3:3" s="13" customFormat="1" x14ac:dyDescent="0.2">
      <c r="C59" s="43"/>
    </row>
    <row r="60" spans="3:3" s="13" customFormat="1" x14ac:dyDescent="0.2">
      <c r="C60" s="43"/>
    </row>
    <row r="61" spans="3:3" s="13" customFormat="1" x14ac:dyDescent="0.2">
      <c r="C61" s="43"/>
    </row>
    <row r="62" spans="3:3" s="13" customFormat="1" x14ac:dyDescent="0.2">
      <c r="C62" s="43"/>
    </row>
    <row r="63" spans="3:3" s="13" customFormat="1" x14ac:dyDescent="0.2">
      <c r="C63" s="43"/>
    </row>
    <row r="64" spans="3:3" s="13" customFormat="1" x14ac:dyDescent="0.2">
      <c r="C64" s="43"/>
    </row>
    <row r="65" spans="3:3" s="13" customFormat="1" x14ac:dyDescent="0.2">
      <c r="C65" s="43"/>
    </row>
    <row r="66" spans="3:3" s="13" customFormat="1" x14ac:dyDescent="0.2"/>
    <row r="67" spans="3:3" s="13" customFormat="1" x14ac:dyDescent="0.2"/>
    <row r="68" spans="3:3" s="13" customFormat="1" x14ac:dyDescent="0.2"/>
    <row r="69" spans="3:3" s="13" customFormat="1" x14ac:dyDescent="0.2"/>
    <row r="70" spans="3:3" s="13" customFormat="1" x14ac:dyDescent="0.2"/>
    <row r="71" spans="3:3" s="13" customFormat="1" x14ac:dyDescent="0.2"/>
    <row r="72" spans="3:3" s="13" customFormat="1" x14ac:dyDescent="0.2"/>
    <row r="73" spans="3:3" s="13" customFormat="1" x14ac:dyDescent="0.2"/>
    <row r="74" spans="3:3" s="13" customFormat="1" x14ac:dyDescent="0.2"/>
    <row r="75" spans="3:3" s="13" customFormat="1" x14ac:dyDescent="0.2"/>
    <row r="76" spans="3:3" s="13" customFormat="1" x14ac:dyDescent="0.2"/>
    <row r="77" spans="3:3" s="13" customFormat="1" x14ac:dyDescent="0.2"/>
    <row r="78" spans="3:3" s="13" customFormat="1" x14ac:dyDescent="0.2"/>
    <row r="79" spans="3:3" s="13" customFormat="1" x14ac:dyDescent="0.2"/>
    <row r="80" spans="3:3" s="13" customFormat="1" x14ac:dyDescent="0.2"/>
    <row r="81" s="13" customFormat="1" x14ac:dyDescent="0.2"/>
    <row r="82" s="13" customFormat="1" x14ac:dyDescent="0.2"/>
    <row r="83" s="13" customFormat="1" x14ac:dyDescent="0.2"/>
    <row r="84" s="13" customFormat="1" x14ac:dyDescent="0.2"/>
    <row r="85" s="13" customFormat="1" x14ac:dyDescent="0.2"/>
    <row r="86" s="13" customFormat="1" x14ac:dyDescent="0.2"/>
    <row r="87" s="13" customFormat="1" x14ac:dyDescent="0.2"/>
    <row r="88" s="13" customFormat="1" x14ac:dyDescent="0.2"/>
    <row r="89" s="13" customFormat="1" x14ac:dyDescent="0.2"/>
    <row r="90" s="13" customFormat="1" x14ac:dyDescent="0.2"/>
    <row r="91" s="13" customFormat="1" x14ac:dyDescent="0.2"/>
    <row r="92" s="13" customFormat="1" x14ac:dyDescent="0.2"/>
    <row r="93" s="13" customFormat="1" x14ac:dyDescent="0.2"/>
    <row r="94" s="13" customFormat="1" x14ac:dyDescent="0.2"/>
    <row r="95" s="13" customFormat="1" x14ac:dyDescent="0.2"/>
    <row r="96" s="13" customFormat="1" x14ac:dyDescent="0.2"/>
    <row r="97" s="13" customFormat="1" x14ac:dyDescent="0.2"/>
    <row r="98" s="13" customFormat="1" x14ac:dyDescent="0.2"/>
    <row r="99" s="13" customFormat="1" x14ac:dyDescent="0.2"/>
    <row r="100" s="13" customFormat="1" x14ac:dyDescent="0.2"/>
    <row r="101" s="13" customFormat="1" x14ac:dyDescent="0.2"/>
    <row r="102" s="13" customFormat="1" x14ac:dyDescent="0.2"/>
    <row r="103" s="13" customFormat="1" x14ac:dyDescent="0.2"/>
    <row r="104" s="13" customFormat="1" x14ac:dyDescent="0.2"/>
    <row r="105" s="13" customFormat="1" x14ac:dyDescent="0.2"/>
    <row r="106" s="13" customFormat="1" x14ac:dyDescent="0.2"/>
    <row r="107" s="13" customFormat="1" x14ac:dyDescent="0.2"/>
    <row r="108" s="13" customFormat="1" x14ac:dyDescent="0.2"/>
    <row r="109" s="13" customFormat="1" x14ac:dyDescent="0.2"/>
    <row r="110" s="13" customFormat="1" x14ac:dyDescent="0.2"/>
    <row r="111" s="13" customFormat="1" x14ac:dyDescent="0.2"/>
    <row r="112" s="13" customFormat="1" x14ac:dyDescent="0.2"/>
    <row r="113" s="13" customFormat="1" x14ac:dyDescent="0.2"/>
    <row r="114" s="13" customFormat="1" x14ac:dyDescent="0.2"/>
    <row r="115" s="13" customFormat="1" x14ac:dyDescent="0.2"/>
    <row r="116" s="13" customFormat="1" x14ac:dyDescent="0.2"/>
    <row r="117" s="13" customFormat="1" x14ac:dyDescent="0.2"/>
    <row r="118" s="13" customFormat="1" x14ac:dyDescent="0.2"/>
    <row r="119" s="13" customFormat="1" x14ac:dyDescent="0.2"/>
    <row r="120" s="13" customFormat="1" x14ac:dyDescent="0.2"/>
    <row r="121" s="13" customFormat="1" x14ac:dyDescent="0.2"/>
    <row r="122" s="13" customFormat="1" x14ac:dyDescent="0.2"/>
    <row r="123" s="13" customFormat="1" x14ac:dyDescent="0.2"/>
    <row r="124" s="13" customFormat="1" x14ac:dyDescent="0.2"/>
    <row r="125" s="13" customFormat="1" x14ac:dyDescent="0.2"/>
    <row r="126" s="13" customFormat="1" x14ac:dyDescent="0.2"/>
    <row r="127" s="13" customFormat="1" x14ac:dyDescent="0.2"/>
    <row r="128" s="13" customFormat="1" x14ac:dyDescent="0.2"/>
    <row r="129" s="13" customFormat="1" x14ac:dyDescent="0.2"/>
    <row r="130" s="13" customFormat="1" x14ac:dyDescent="0.2"/>
    <row r="131" s="13" customFormat="1" x14ac:dyDescent="0.2"/>
    <row r="132" s="13" customFormat="1" x14ac:dyDescent="0.2"/>
    <row r="133" s="13" customFormat="1" x14ac:dyDescent="0.2"/>
    <row r="134" s="13" customFormat="1" x14ac:dyDescent="0.2"/>
    <row r="135" s="13" customFormat="1" x14ac:dyDescent="0.2"/>
    <row r="136" s="13" customFormat="1" x14ac:dyDescent="0.2"/>
    <row r="137" s="13" customFormat="1" x14ac:dyDescent="0.2"/>
    <row r="138" s="13" customFormat="1" x14ac:dyDescent="0.2"/>
    <row r="139" s="13" customFormat="1" x14ac:dyDescent="0.2"/>
    <row r="140" s="13" customFormat="1" x14ac:dyDescent="0.2"/>
    <row r="141" s="13" customFormat="1" x14ac:dyDescent="0.2"/>
    <row r="142" s="13" customFormat="1" x14ac:dyDescent="0.2"/>
    <row r="143" s="13" customFormat="1" x14ac:dyDescent="0.2"/>
    <row r="144" s="13" customFormat="1" x14ac:dyDescent="0.2"/>
    <row r="145" s="13" customFormat="1" x14ac:dyDescent="0.2"/>
    <row r="146" s="13" customFormat="1" x14ac:dyDescent="0.2"/>
    <row r="147" s="13" customFormat="1" x14ac:dyDescent="0.2"/>
    <row r="148" s="13" customFormat="1" x14ac:dyDescent="0.2"/>
    <row r="149" s="13" customFormat="1" x14ac:dyDescent="0.2"/>
    <row r="150" s="13" customFormat="1" x14ac:dyDescent="0.2"/>
    <row r="151" s="13" customFormat="1" x14ac:dyDescent="0.2"/>
    <row r="152" s="13" customFormat="1" x14ac:dyDescent="0.2"/>
    <row r="153" s="13" customFormat="1" x14ac:dyDescent="0.2"/>
    <row r="154" s="13" customFormat="1" x14ac:dyDescent="0.2"/>
    <row r="155" s="13" customFormat="1" x14ac:dyDescent="0.2"/>
    <row r="156" s="13" customFormat="1" x14ac:dyDescent="0.2"/>
    <row r="157" s="13" customFormat="1" x14ac:dyDescent="0.2"/>
    <row r="158" s="13" customFormat="1" x14ac:dyDescent="0.2"/>
    <row r="159" s="13" customFormat="1" x14ac:dyDescent="0.2"/>
    <row r="160" s="13" customFormat="1" x14ac:dyDescent="0.2"/>
    <row r="161" s="13" customFormat="1" x14ac:dyDescent="0.2"/>
    <row r="162" s="13" customFormat="1" x14ac:dyDescent="0.2"/>
    <row r="163" s="13" customFormat="1" x14ac:dyDescent="0.2"/>
    <row r="164" s="13" customFormat="1" x14ac:dyDescent="0.2"/>
    <row r="165" s="13" customFormat="1" x14ac:dyDescent="0.2"/>
    <row r="166" s="13" customFormat="1" x14ac:dyDescent="0.2"/>
    <row r="167" s="13" customFormat="1" x14ac:dyDescent="0.2"/>
    <row r="168" s="13" customFormat="1" x14ac:dyDescent="0.2"/>
    <row r="169" s="13" customFormat="1" x14ac:dyDescent="0.2"/>
    <row r="170" s="13" customFormat="1" x14ac:dyDescent="0.2"/>
    <row r="171" s="13" customFormat="1" x14ac:dyDescent="0.2"/>
    <row r="172" s="13" customFormat="1" x14ac:dyDescent="0.2"/>
    <row r="173" s="13" customFormat="1" x14ac:dyDescent="0.2"/>
    <row r="174" s="13" customFormat="1" x14ac:dyDescent="0.2"/>
    <row r="175" s="13" customFormat="1" x14ac:dyDescent="0.2"/>
    <row r="176" s="13" customFormat="1" x14ac:dyDescent="0.2"/>
    <row r="177" s="13" customFormat="1" x14ac:dyDescent="0.2"/>
    <row r="178" s="13" customFormat="1" x14ac:dyDescent="0.2"/>
    <row r="179" s="13" customFormat="1" x14ac:dyDescent="0.2"/>
    <row r="180" s="13" customFormat="1" x14ac:dyDescent="0.2"/>
    <row r="181" s="13" customFormat="1" x14ac:dyDescent="0.2"/>
    <row r="182" s="13" customFormat="1" x14ac:dyDescent="0.2"/>
    <row r="183" s="13" customFormat="1" x14ac:dyDescent="0.2"/>
    <row r="184" s="13" customFormat="1" x14ac:dyDescent="0.2"/>
    <row r="185" s="13" customFormat="1" x14ac:dyDescent="0.2"/>
    <row r="186" s="13" customFormat="1" x14ac:dyDescent="0.2"/>
    <row r="187" s="13" customFormat="1" x14ac:dyDescent="0.2"/>
    <row r="188" s="13" customFormat="1" x14ac:dyDescent="0.2"/>
    <row r="189" s="13" customFormat="1" x14ac:dyDescent="0.2"/>
    <row r="190" s="13" customFormat="1" x14ac:dyDescent="0.2"/>
    <row r="191" s="13" customFormat="1" x14ac:dyDescent="0.2"/>
    <row r="192" s="13" customFormat="1" x14ac:dyDescent="0.2"/>
    <row r="193" s="13" customFormat="1" x14ac:dyDescent="0.2"/>
    <row r="194" s="13" customFormat="1" x14ac:dyDescent="0.2"/>
    <row r="195" s="13" customFormat="1" x14ac:dyDescent="0.2"/>
    <row r="196" s="13" customFormat="1" x14ac:dyDescent="0.2"/>
    <row r="197" s="13" customFormat="1" x14ac:dyDescent="0.2"/>
    <row r="198" s="13" customFormat="1" x14ac:dyDescent="0.2"/>
    <row r="199" s="13" customFormat="1" x14ac:dyDescent="0.2"/>
    <row r="200" s="13" customFormat="1" x14ac:dyDescent="0.2"/>
    <row r="201" s="13" customFormat="1" x14ac:dyDescent="0.2"/>
    <row r="202" s="13" customFormat="1" x14ac:dyDescent="0.2"/>
    <row r="203" s="13" customFormat="1" x14ac:dyDescent="0.2"/>
    <row r="204" s="13" customFormat="1" x14ac:dyDescent="0.2"/>
    <row r="205" s="13" customFormat="1" x14ac:dyDescent="0.2"/>
    <row r="206" s="13" customFormat="1" x14ac:dyDescent="0.2"/>
    <row r="207" s="13" customFormat="1" x14ac:dyDescent="0.2"/>
    <row r="208" s="13" customFormat="1" x14ac:dyDescent="0.2"/>
    <row r="209" s="13" customFormat="1" x14ac:dyDescent="0.2"/>
    <row r="210" s="13" customFormat="1" x14ac:dyDescent="0.2"/>
    <row r="211" s="13" customFormat="1" x14ac:dyDescent="0.2"/>
    <row r="212" s="13" customFormat="1" x14ac:dyDescent="0.2"/>
    <row r="213" s="13" customFormat="1" x14ac:dyDescent="0.2"/>
    <row r="214" s="13" customFormat="1" x14ac:dyDescent="0.2"/>
    <row r="215" s="13" customFormat="1" x14ac:dyDescent="0.2"/>
    <row r="216" s="13" customFormat="1" x14ac:dyDescent="0.2"/>
    <row r="217" s="13" customFormat="1" x14ac:dyDescent="0.2"/>
    <row r="218" s="13" customFormat="1" x14ac:dyDescent="0.2"/>
    <row r="219" s="13" customFormat="1" x14ac:dyDescent="0.2"/>
    <row r="220" s="13" customFormat="1" x14ac:dyDescent="0.2"/>
    <row r="221" s="13" customFormat="1" x14ac:dyDescent="0.2"/>
    <row r="222" s="13" customFormat="1" x14ac:dyDescent="0.2"/>
    <row r="223" s="13" customFormat="1" x14ac:dyDescent="0.2"/>
    <row r="224" s="13" customFormat="1" x14ac:dyDescent="0.2"/>
    <row r="225" s="13" customFormat="1" x14ac:dyDescent="0.2"/>
    <row r="226" s="13" customFormat="1" x14ac:dyDescent="0.2"/>
    <row r="227" s="13" customFormat="1" x14ac:dyDescent="0.2"/>
    <row r="228" s="13" customFormat="1" x14ac:dyDescent="0.2"/>
    <row r="229" s="13" customFormat="1" x14ac:dyDescent="0.2"/>
    <row r="230" s="13" customFormat="1" x14ac:dyDescent="0.2"/>
    <row r="231" s="13" customFormat="1" x14ac:dyDescent="0.2"/>
    <row r="232" s="13" customFormat="1" x14ac:dyDescent="0.2"/>
    <row r="233" s="13" customFormat="1" x14ac:dyDescent="0.2"/>
    <row r="234" s="13" customFormat="1" x14ac:dyDescent="0.2"/>
    <row r="235" s="13" customFormat="1" x14ac:dyDescent="0.2"/>
    <row r="236" s="13" customFormat="1" x14ac:dyDescent="0.2"/>
    <row r="237" s="13" customFormat="1" x14ac:dyDescent="0.2"/>
    <row r="238" s="13" customFormat="1" x14ac:dyDescent="0.2"/>
    <row r="239" s="13" customFormat="1" x14ac:dyDescent="0.2"/>
    <row r="240" s="13" customFormat="1" x14ac:dyDescent="0.2"/>
    <row r="241" s="13" customFormat="1" x14ac:dyDescent="0.2"/>
    <row r="242" s="13" customFormat="1" x14ac:dyDescent="0.2"/>
    <row r="243" s="13" customFormat="1" x14ac:dyDescent="0.2"/>
    <row r="244" s="13" customFormat="1" x14ac:dyDescent="0.2"/>
    <row r="245" s="13" customFormat="1" x14ac:dyDescent="0.2"/>
    <row r="246" s="13" customFormat="1" x14ac:dyDescent="0.2"/>
    <row r="247" s="13" customFormat="1" x14ac:dyDescent="0.2"/>
    <row r="248" s="13" customFormat="1" x14ac:dyDescent="0.2"/>
    <row r="249" s="13" customFormat="1" x14ac:dyDescent="0.2"/>
    <row r="250" s="13" customFormat="1" x14ac:dyDescent="0.2"/>
    <row r="251" s="13" customFormat="1" x14ac:dyDescent="0.2"/>
    <row r="252" s="13" customFormat="1" x14ac:dyDescent="0.2"/>
    <row r="253" s="13" customFormat="1" x14ac:dyDescent="0.2"/>
    <row r="254" s="13" customFormat="1" x14ac:dyDescent="0.2"/>
    <row r="255" s="13" customFormat="1" x14ac:dyDescent="0.2"/>
    <row r="256" s="13" customFormat="1" x14ac:dyDescent="0.2"/>
    <row r="257" s="13" customFormat="1" x14ac:dyDescent="0.2"/>
    <row r="258" s="13" customFormat="1" x14ac:dyDescent="0.2"/>
    <row r="259" s="13" customFormat="1" x14ac:dyDescent="0.2"/>
    <row r="260" s="13" customFormat="1" x14ac:dyDescent="0.2"/>
    <row r="261" s="13" customFormat="1" x14ac:dyDescent="0.2"/>
    <row r="262" s="13" customFormat="1" x14ac:dyDescent="0.2"/>
    <row r="263" s="13" customFormat="1" x14ac:dyDescent="0.2"/>
    <row r="264" s="13" customFormat="1" x14ac:dyDescent="0.2"/>
    <row r="265" s="13" customFormat="1" x14ac:dyDescent="0.2"/>
    <row r="266" s="13" customFormat="1" x14ac:dyDescent="0.2"/>
    <row r="267" s="13" customFormat="1" x14ac:dyDescent="0.2"/>
    <row r="268" s="13" customFormat="1" x14ac:dyDescent="0.2"/>
    <row r="269" s="13" customFormat="1" x14ac:dyDescent="0.2"/>
    <row r="270" s="13" customFormat="1" x14ac:dyDescent="0.2"/>
    <row r="271" s="13" customFormat="1" x14ac:dyDescent="0.2"/>
    <row r="272" s="13" customFormat="1" x14ac:dyDescent="0.2"/>
    <row r="273" s="13" customFormat="1" x14ac:dyDescent="0.2"/>
    <row r="274" s="13" customFormat="1" x14ac:dyDescent="0.2"/>
    <row r="275" s="13" customFormat="1" x14ac:dyDescent="0.2"/>
    <row r="276" s="13" customFormat="1" x14ac:dyDescent="0.2"/>
    <row r="277" s="13" customFormat="1" x14ac:dyDescent="0.2"/>
    <row r="278" s="13" customFormat="1" x14ac:dyDescent="0.2"/>
    <row r="279" s="13" customFormat="1" x14ac:dyDescent="0.2"/>
    <row r="280" s="13" customFormat="1" x14ac:dyDescent="0.2"/>
    <row r="281" s="13" customFormat="1" x14ac:dyDescent="0.2"/>
    <row r="282" s="13" customFormat="1" x14ac:dyDescent="0.2"/>
    <row r="283" s="13" customFormat="1" x14ac:dyDescent="0.2"/>
    <row r="284" s="13" customFormat="1" x14ac:dyDescent="0.2"/>
    <row r="285" s="13" customFormat="1" x14ac:dyDescent="0.2"/>
    <row r="286" s="13" customFormat="1" x14ac:dyDescent="0.2"/>
    <row r="287" s="13" customFormat="1" x14ac:dyDescent="0.2"/>
    <row r="288" s="13" customFormat="1" x14ac:dyDescent="0.2"/>
    <row r="289" s="13" customFormat="1" x14ac:dyDescent="0.2"/>
    <row r="290" s="13" customFormat="1" x14ac:dyDescent="0.2"/>
    <row r="291" s="13" customFormat="1" x14ac:dyDescent="0.2"/>
    <row r="292" s="13" customFormat="1" x14ac:dyDescent="0.2"/>
    <row r="293" s="13" customFormat="1" x14ac:dyDescent="0.2"/>
    <row r="294" s="13" customFormat="1" x14ac:dyDescent="0.2"/>
    <row r="295" s="13" customFormat="1" x14ac:dyDescent="0.2"/>
    <row r="296" s="13" customFormat="1" x14ac:dyDescent="0.2"/>
    <row r="297" s="13" customFormat="1" x14ac:dyDescent="0.2"/>
    <row r="298" s="13" customFormat="1" x14ac:dyDescent="0.2"/>
    <row r="299" s="13" customFormat="1" x14ac:dyDescent="0.2"/>
    <row r="300" s="13" customFormat="1" x14ac:dyDescent="0.2"/>
    <row r="301" s="13" customFormat="1" x14ac:dyDescent="0.2"/>
    <row r="302" s="13" customFormat="1" x14ac:dyDescent="0.2"/>
    <row r="303" s="13" customFormat="1" x14ac:dyDescent="0.2"/>
    <row r="304" s="13" customFormat="1" x14ac:dyDescent="0.2"/>
    <row r="305" s="13" customFormat="1" x14ac:dyDescent="0.2"/>
    <row r="306" s="13" customFormat="1" x14ac:dyDescent="0.2"/>
    <row r="307" s="13" customFormat="1" x14ac:dyDescent="0.2"/>
    <row r="308" s="13" customFormat="1" x14ac:dyDescent="0.2"/>
    <row r="309" s="13" customFormat="1" x14ac:dyDescent="0.2"/>
    <row r="310" s="13" customFormat="1" x14ac:dyDescent="0.2"/>
    <row r="311" s="13" customFormat="1" x14ac:dyDescent="0.2"/>
    <row r="312" s="13" customFormat="1" x14ac:dyDescent="0.2"/>
    <row r="313" s="13" customFormat="1" x14ac:dyDescent="0.2"/>
    <row r="314" s="13" customFormat="1" x14ac:dyDescent="0.2"/>
    <row r="315" s="13" customFormat="1" x14ac:dyDescent="0.2"/>
    <row r="316" s="13" customFormat="1" x14ac:dyDescent="0.2"/>
    <row r="317" s="13" customFormat="1" x14ac:dyDescent="0.2"/>
    <row r="318" s="13" customFormat="1" x14ac:dyDescent="0.2"/>
    <row r="319" s="13" customFormat="1" x14ac:dyDescent="0.2"/>
    <row r="320" s="13" customFormat="1" x14ac:dyDescent="0.2"/>
    <row r="321" s="13" customFormat="1" x14ac:dyDescent="0.2"/>
    <row r="322" s="13" customFormat="1" x14ac:dyDescent="0.2"/>
    <row r="323" s="13" customFormat="1" x14ac:dyDescent="0.2"/>
    <row r="324" s="13" customFormat="1" x14ac:dyDescent="0.2"/>
    <row r="325" s="13" customFormat="1" x14ac:dyDescent="0.2"/>
    <row r="326" s="13" customFormat="1" x14ac:dyDescent="0.2"/>
    <row r="327" s="13" customFormat="1" x14ac:dyDescent="0.2"/>
    <row r="328" s="13" customFormat="1" x14ac:dyDescent="0.2"/>
    <row r="329" s="13" customFormat="1" x14ac:dyDescent="0.2"/>
    <row r="330" s="13" customFormat="1" x14ac:dyDescent="0.2"/>
    <row r="331" s="13" customFormat="1" x14ac:dyDescent="0.2"/>
    <row r="332" s="13" customFormat="1" x14ac:dyDescent="0.2"/>
    <row r="333" s="13" customFormat="1" x14ac:dyDescent="0.2"/>
    <row r="334" s="13" customFormat="1" x14ac:dyDescent="0.2"/>
    <row r="335" s="13" customFormat="1" x14ac:dyDescent="0.2"/>
    <row r="336" s="13" customFormat="1" x14ac:dyDescent="0.2"/>
    <row r="337" s="13" customFormat="1" x14ac:dyDescent="0.2"/>
    <row r="338" s="13" customFormat="1" x14ac:dyDescent="0.2"/>
    <row r="339" s="13" customFormat="1" x14ac:dyDescent="0.2"/>
    <row r="340" s="13" customFormat="1" x14ac:dyDescent="0.2"/>
    <row r="341" s="13" customFormat="1" x14ac:dyDescent="0.2"/>
    <row r="342" s="13" customFormat="1" x14ac:dyDescent="0.2"/>
    <row r="343" s="13" customFormat="1" x14ac:dyDescent="0.2"/>
    <row r="344" s="13" customFormat="1" x14ac:dyDescent="0.2"/>
  </sheetData>
  <phoneticPr fontId="18" type="noConversion"/>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BV370"/>
  <sheetViews>
    <sheetView workbookViewId="0"/>
  </sheetViews>
  <sheetFormatPr baseColWidth="10" defaultRowHeight="16" x14ac:dyDescent="0.2"/>
  <cols>
    <col min="2" max="2" width="9.1640625" style="13" customWidth="1"/>
    <col min="3" max="3" width="7.33203125" customWidth="1"/>
    <col min="4" max="5" width="12.1640625" customWidth="1"/>
    <col min="6" max="6" width="2.83203125" customWidth="1"/>
    <col min="7" max="7" width="11.1640625" customWidth="1"/>
    <col min="8" max="8" width="3" customWidth="1"/>
    <col min="9" max="10" width="12.5" customWidth="1"/>
    <col min="12" max="12" width="8.83203125" customWidth="1"/>
    <col min="13" max="13" width="15.83203125" customWidth="1"/>
    <col min="14" max="14" width="2.83203125" customWidth="1"/>
    <col min="15" max="15" width="13.83203125" customWidth="1"/>
    <col min="16" max="16" width="3" customWidth="1"/>
    <col min="17" max="17" width="12.1640625" bestFit="1" customWidth="1"/>
    <col min="18" max="18" width="24.1640625" customWidth="1"/>
    <col min="19" max="19" width="13.83203125" customWidth="1"/>
    <col min="20" max="20" width="9.1640625" customWidth="1"/>
    <col min="21" max="21" width="12.83203125" customWidth="1"/>
    <col min="22" max="22" width="3" customWidth="1"/>
    <col min="23" max="23" width="13.1640625" bestFit="1" customWidth="1"/>
    <col min="24" max="24" width="3" customWidth="1"/>
    <col min="25" max="25" width="12.5" customWidth="1"/>
    <col min="26" max="26" width="15.6640625" customWidth="1"/>
    <col min="27" max="27" width="12.83203125" customWidth="1"/>
    <col min="28" max="28" width="13.6640625" customWidth="1"/>
    <col min="29" max="29" width="12.5" customWidth="1"/>
    <col min="30" max="30" width="7.1640625" customWidth="1"/>
    <col min="31" max="31" width="11.83203125" bestFit="1" customWidth="1"/>
    <col min="32" max="32" width="2.83203125" customWidth="1"/>
    <col min="33" max="33" width="13" customWidth="1"/>
    <col min="34" max="34" width="2.83203125" customWidth="1"/>
    <col min="35" max="35" width="13.33203125" customWidth="1"/>
    <col min="36" max="36" width="13" customWidth="1"/>
    <col min="39" max="39" width="2.83203125" customWidth="1"/>
    <col min="41" max="41" width="2.83203125" customWidth="1"/>
    <col min="42" max="42" width="12.1640625" customWidth="1"/>
    <col min="43" max="43" width="12.83203125" customWidth="1"/>
    <col min="47" max="47" width="2.83203125" customWidth="1"/>
    <col min="49" max="49" width="2.83203125" customWidth="1"/>
    <col min="50" max="50" width="12.6640625" customWidth="1"/>
    <col min="51" max="51" width="15.33203125" customWidth="1"/>
  </cols>
  <sheetData>
    <row r="1" spans="1:74" s="13" customFormat="1" ht="34" customHeight="1" x14ac:dyDescent="0.2"/>
    <row r="2" spans="1:74" s="13" customFormat="1" ht="34" customHeight="1" x14ac:dyDescent="0.3">
      <c r="J2" s="59" t="s">
        <v>629</v>
      </c>
    </row>
    <row r="3" spans="1:74" ht="15" customHeight="1" x14ac:dyDescent="0.2">
      <c r="A3" s="13"/>
      <c r="B3" s="2" t="s">
        <v>84</v>
      </c>
      <c r="C3" s="13" t="s">
        <v>516</v>
      </c>
      <c r="D3" s="13"/>
      <c r="E3" s="1"/>
      <c r="F3" s="1"/>
      <c r="G3" s="1"/>
      <c r="H3" s="1"/>
      <c r="I3" s="27"/>
      <c r="J3" s="27"/>
      <c r="K3" s="27"/>
      <c r="L3" s="27"/>
      <c r="M3" s="27"/>
      <c r="N3" s="27"/>
      <c r="O3" s="27"/>
      <c r="P3" s="27"/>
      <c r="Q3" s="27"/>
      <c r="R3" s="27"/>
      <c r="S3" s="27"/>
      <c r="T3" s="27"/>
      <c r="U3" s="27"/>
      <c r="V3" s="27"/>
      <c r="W3" s="27"/>
      <c r="X3" s="27"/>
      <c r="Y3" s="27"/>
      <c r="Z3" s="27"/>
      <c r="AA3" s="27"/>
      <c r="AB3" s="27"/>
      <c r="AC3" s="1"/>
      <c r="AD3" s="1"/>
      <c r="AE3" s="1"/>
      <c r="AF3" s="1"/>
      <c r="AG3" s="1"/>
      <c r="AH3" s="1"/>
      <c r="AI3" s="1"/>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row>
    <row r="4" spans="1:74" x14ac:dyDescent="0.2">
      <c r="A4" s="13"/>
      <c r="B4" s="1"/>
      <c r="C4" s="2"/>
      <c r="D4" s="13"/>
      <c r="E4" s="1"/>
      <c r="F4" s="1"/>
      <c r="G4" s="1"/>
      <c r="H4" s="1"/>
      <c r="I4" s="27"/>
      <c r="J4" s="27"/>
      <c r="K4" s="27"/>
      <c r="L4" s="27"/>
      <c r="M4" s="27"/>
      <c r="N4" s="27"/>
      <c r="O4" s="27"/>
      <c r="P4" s="27"/>
      <c r="Q4" s="27"/>
      <c r="R4" s="27"/>
      <c r="S4" s="27"/>
      <c r="T4" s="27"/>
      <c r="U4" s="27"/>
      <c r="V4" s="27"/>
      <c r="W4" s="27"/>
      <c r="X4" s="27"/>
      <c r="Y4" s="27"/>
      <c r="Z4" s="27"/>
      <c r="AA4" s="27"/>
      <c r="AB4" s="27"/>
      <c r="AC4" s="1"/>
      <c r="AD4" s="1"/>
      <c r="AE4" s="1"/>
      <c r="AF4" s="1"/>
      <c r="AG4" s="13"/>
      <c r="AH4" s="13"/>
      <c r="AI4" s="13"/>
      <c r="AJ4" s="13"/>
      <c r="AK4" s="23"/>
      <c r="AL4" s="13"/>
      <c r="AM4" s="13"/>
      <c r="AN4" s="13"/>
      <c r="AO4" s="13"/>
      <c r="AP4" s="13"/>
      <c r="AQ4" s="2" t="s">
        <v>19</v>
      </c>
      <c r="AR4" s="1"/>
      <c r="AS4" s="1"/>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row>
    <row r="5" spans="1:74" x14ac:dyDescent="0.2">
      <c r="A5" s="13"/>
      <c r="B5" s="12">
        <v>0</v>
      </c>
      <c r="C5" s="1" t="s">
        <v>119</v>
      </c>
      <c r="D5" s="13"/>
      <c r="E5" s="13"/>
      <c r="F5" s="13"/>
      <c r="G5" s="1"/>
      <c r="H5" s="1"/>
      <c r="I5" s="27"/>
      <c r="J5" s="27"/>
      <c r="K5" s="27"/>
      <c r="L5" s="27"/>
      <c r="M5" s="27"/>
      <c r="N5" s="27"/>
      <c r="O5" s="27"/>
      <c r="P5" s="27"/>
      <c r="Q5" s="27"/>
      <c r="R5" s="28"/>
      <c r="S5" s="27"/>
      <c r="T5" s="27"/>
      <c r="U5" s="27"/>
      <c r="V5" s="27"/>
      <c r="W5" s="27"/>
      <c r="X5" s="27"/>
      <c r="Y5" s="27"/>
      <c r="Z5" s="27"/>
      <c r="AA5" s="27"/>
      <c r="AB5" s="27"/>
      <c r="AC5" s="1"/>
      <c r="AD5" s="1"/>
      <c r="AE5" s="1"/>
      <c r="AF5" s="1"/>
      <c r="AG5" s="13"/>
      <c r="AH5" s="13"/>
      <c r="AI5" s="13"/>
      <c r="AJ5" s="13"/>
      <c r="AK5" s="27"/>
      <c r="AL5" s="27"/>
      <c r="AM5" s="27"/>
      <c r="AN5" s="27"/>
      <c r="AO5" s="27"/>
      <c r="AP5" s="27"/>
      <c r="AQ5" s="1" t="s">
        <v>20</v>
      </c>
      <c r="AR5" s="1"/>
      <c r="AS5" s="1"/>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pans="1:74" x14ac:dyDescent="0.2">
      <c r="A6" s="13"/>
      <c r="B6" s="12">
        <v>1</v>
      </c>
      <c r="C6" s="1" t="s">
        <v>2</v>
      </c>
      <c r="D6" s="13"/>
      <c r="E6" s="13"/>
      <c r="F6" s="13"/>
      <c r="G6" s="1"/>
      <c r="H6" s="1"/>
      <c r="I6" s="27"/>
      <c r="J6" s="27"/>
      <c r="K6" s="27"/>
      <c r="L6" s="27"/>
      <c r="M6" s="27"/>
      <c r="N6" s="27"/>
      <c r="O6" s="27"/>
      <c r="P6" s="27"/>
      <c r="Q6" s="27"/>
      <c r="R6" s="27"/>
      <c r="S6" s="27"/>
      <c r="T6" s="13"/>
      <c r="U6" s="13"/>
      <c r="V6" s="13"/>
      <c r="W6" s="13"/>
      <c r="X6" s="13"/>
      <c r="Y6" s="27"/>
      <c r="Z6" s="27"/>
      <c r="AA6" s="27"/>
      <c r="AB6" s="27"/>
      <c r="AC6" s="1"/>
      <c r="AD6" s="1"/>
      <c r="AE6" s="1"/>
      <c r="AF6" s="1"/>
      <c r="AG6" s="13"/>
      <c r="AH6" s="13"/>
      <c r="AI6" s="13"/>
      <c r="AJ6" s="13"/>
      <c r="AK6" s="27"/>
      <c r="AL6" s="27"/>
      <c r="AM6" s="27"/>
      <c r="AN6" s="27"/>
      <c r="AO6" s="27"/>
      <c r="AP6" s="27"/>
      <c r="AQ6" s="1" t="s">
        <v>1</v>
      </c>
      <c r="AR6" s="1">
        <v>2.016</v>
      </c>
      <c r="AS6" s="1" t="s">
        <v>23</v>
      </c>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pans="1:74" x14ac:dyDescent="0.2">
      <c r="A7" s="13"/>
      <c r="B7" s="12">
        <v>0</v>
      </c>
      <c r="C7" s="1" t="s">
        <v>87</v>
      </c>
      <c r="D7" s="13"/>
      <c r="E7" s="13"/>
      <c r="F7" s="13"/>
      <c r="G7" s="27"/>
      <c r="H7" s="1"/>
      <c r="I7" s="27"/>
      <c r="J7" s="27"/>
      <c r="K7" s="27"/>
      <c r="L7" s="27"/>
      <c r="M7" s="27"/>
      <c r="N7" s="27"/>
      <c r="O7" s="27"/>
      <c r="P7" s="27"/>
      <c r="Q7" s="27"/>
      <c r="R7" s="29" t="s">
        <v>575</v>
      </c>
      <c r="S7" s="13"/>
      <c r="T7" s="27"/>
      <c r="U7" s="27"/>
      <c r="V7" s="27"/>
      <c r="W7" s="13"/>
      <c r="X7" s="13"/>
      <c r="Y7" s="27"/>
      <c r="Z7" s="27"/>
      <c r="AA7" s="27"/>
      <c r="AB7" s="27"/>
      <c r="AC7" s="1"/>
      <c r="AD7" s="1"/>
      <c r="AE7" s="1"/>
      <c r="AF7" s="1"/>
      <c r="AG7" s="13"/>
      <c r="AH7" s="13"/>
      <c r="AI7" s="13"/>
      <c r="AJ7" s="13"/>
      <c r="AK7" s="27"/>
      <c r="AL7" s="27"/>
      <c r="AM7" s="27"/>
      <c r="AN7" s="27"/>
      <c r="AO7" s="27"/>
      <c r="AP7" s="27"/>
      <c r="AQ7" s="1" t="s">
        <v>21</v>
      </c>
      <c r="AR7" s="1">
        <v>28</v>
      </c>
      <c r="AS7" s="1" t="s">
        <v>23</v>
      </c>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pans="1:74" x14ac:dyDescent="0.2">
      <c r="A8" s="13"/>
      <c r="B8" s="57">
        <v>1</v>
      </c>
      <c r="C8" s="1" t="s">
        <v>86</v>
      </c>
      <c r="D8" s="13"/>
      <c r="E8" s="13"/>
      <c r="F8" s="13"/>
      <c r="G8" s="27"/>
      <c r="H8" s="1"/>
      <c r="I8" s="27">
        <f>E69</f>
        <v>4.2104118701211917</v>
      </c>
      <c r="J8" s="27" t="s">
        <v>98</v>
      </c>
      <c r="K8" s="13"/>
      <c r="L8" s="13"/>
      <c r="M8" s="27"/>
      <c r="N8" s="27"/>
      <c r="O8" s="27">
        <f>IF(B9=1,0,I9*W70)</f>
        <v>3.0366597329029439</v>
      </c>
      <c r="P8" s="27" t="s">
        <v>71</v>
      </c>
      <c r="Q8" s="13"/>
      <c r="R8" s="27" t="s">
        <v>260</v>
      </c>
      <c r="S8" s="13"/>
      <c r="T8" s="27"/>
      <c r="U8" s="13"/>
      <c r="V8" s="27"/>
      <c r="W8" s="29"/>
      <c r="X8" s="13"/>
      <c r="Y8" s="27"/>
      <c r="Z8" s="27"/>
      <c r="AA8" s="27"/>
      <c r="AB8" s="27"/>
      <c r="AC8" s="1"/>
      <c r="AD8" s="1"/>
      <c r="AE8" s="1"/>
      <c r="AF8" s="1"/>
      <c r="AG8" s="13"/>
      <c r="AH8" s="13"/>
      <c r="AI8" s="13"/>
      <c r="AJ8" s="13"/>
      <c r="AK8" s="27"/>
      <c r="AL8" s="27"/>
      <c r="AM8" s="27"/>
      <c r="AN8" s="27"/>
      <c r="AO8" s="27"/>
      <c r="AP8" s="27"/>
      <c r="AQ8" s="1" t="s">
        <v>0</v>
      </c>
      <c r="AR8" s="1">
        <v>44</v>
      </c>
      <c r="AS8" s="1" t="s">
        <v>23</v>
      </c>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pans="1:74" x14ac:dyDescent="0.2">
      <c r="A9" s="13"/>
      <c r="C9" s="1"/>
      <c r="D9" s="1"/>
      <c r="E9" s="1"/>
      <c r="F9" s="1"/>
      <c r="G9" s="27"/>
      <c r="H9" s="1"/>
      <c r="I9" s="27">
        <f>Tata_gases!C53</f>
        <v>3.0986323805132083</v>
      </c>
      <c r="J9" s="27" t="s">
        <v>97</v>
      </c>
      <c r="K9" s="13"/>
      <c r="L9" s="13"/>
      <c r="M9" s="27"/>
      <c r="N9" s="27"/>
      <c r="O9" s="27">
        <f>W69</f>
        <v>83.986407685881375</v>
      </c>
      <c r="P9" s="30" t="s">
        <v>186</v>
      </c>
      <c r="Q9" s="13"/>
      <c r="R9" s="27" t="s">
        <v>117</v>
      </c>
      <c r="S9" s="13"/>
      <c r="T9" s="27"/>
      <c r="U9" s="13"/>
      <c r="V9" s="27"/>
      <c r="W9" s="27"/>
      <c r="X9" s="13"/>
      <c r="Y9" s="27"/>
      <c r="Z9" s="27"/>
      <c r="AA9" s="27"/>
      <c r="AB9" s="27"/>
      <c r="AC9" s="1"/>
      <c r="AD9" s="1"/>
      <c r="AE9" s="1"/>
      <c r="AF9" s="1"/>
      <c r="AG9" s="1"/>
      <c r="AH9" s="1"/>
      <c r="AI9" s="1"/>
      <c r="AJ9" s="1"/>
      <c r="AK9" s="35"/>
      <c r="AL9" s="27"/>
      <c r="AM9" s="27"/>
      <c r="AN9" s="27"/>
      <c r="AO9" s="27"/>
      <c r="AP9" s="27"/>
      <c r="AQ9" s="1" t="s">
        <v>22</v>
      </c>
      <c r="AR9" s="1">
        <f>12*11+1.008*24</f>
        <v>156.19200000000001</v>
      </c>
      <c r="AS9" s="1" t="s">
        <v>23</v>
      </c>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pans="1:74" x14ac:dyDescent="0.2">
      <c r="A10" s="13"/>
      <c r="C10" s="1"/>
      <c r="D10" s="1"/>
      <c r="E10" s="1"/>
      <c r="F10" s="1"/>
      <c r="G10" s="1"/>
      <c r="H10" s="1"/>
      <c r="I10" s="27"/>
      <c r="J10" s="27"/>
      <c r="K10" s="27"/>
      <c r="L10" s="27"/>
      <c r="M10" s="27"/>
      <c r="N10" s="27"/>
      <c r="O10" s="127">
        <v>20</v>
      </c>
      <c r="P10" s="27" t="s">
        <v>486</v>
      </c>
      <c r="Q10" s="27"/>
      <c r="R10" s="27"/>
      <c r="S10" s="27"/>
      <c r="T10" s="27"/>
      <c r="U10" s="27"/>
      <c r="V10" s="27"/>
      <c r="W10" s="27"/>
      <c r="X10" s="27"/>
      <c r="Y10" s="27"/>
      <c r="Z10" s="27"/>
      <c r="AA10" s="27"/>
      <c r="AB10" s="27"/>
      <c r="AC10" s="1"/>
      <c r="AD10" s="1"/>
      <c r="AE10" s="1"/>
      <c r="AF10" s="1"/>
      <c r="AG10" s="1"/>
      <c r="AH10" s="1"/>
      <c r="AI10" s="1"/>
      <c r="AJ10" s="1"/>
      <c r="AK10" s="27"/>
      <c r="AL10" s="27"/>
      <c r="AM10" s="27"/>
      <c r="AN10" s="27"/>
      <c r="AO10" s="27"/>
      <c r="AP10" s="27"/>
      <c r="AQ10" s="1" t="s">
        <v>31</v>
      </c>
      <c r="AR10" s="1">
        <v>32</v>
      </c>
      <c r="AS10" s="1" t="s">
        <v>23</v>
      </c>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pans="1:74" x14ac:dyDescent="0.2">
      <c r="A11" s="13"/>
      <c r="C11" s="1"/>
      <c r="D11" s="1"/>
      <c r="E11" s="1"/>
      <c r="F11" s="1"/>
      <c r="G11" s="1"/>
      <c r="H11" s="1"/>
      <c r="I11" s="27"/>
      <c r="J11" s="27"/>
      <c r="K11" s="27"/>
      <c r="L11" s="27"/>
      <c r="M11" s="27"/>
      <c r="N11" s="27"/>
      <c r="O11" s="27"/>
      <c r="P11" s="27"/>
      <c r="Q11" s="27"/>
      <c r="R11" s="27"/>
      <c r="S11" s="27"/>
      <c r="T11" s="27"/>
      <c r="U11" s="27"/>
      <c r="V11" s="27"/>
      <c r="W11" s="13"/>
      <c r="X11" s="13"/>
      <c r="Y11" s="13"/>
      <c r="Z11" s="27"/>
      <c r="AA11" s="27"/>
      <c r="AB11" s="27"/>
      <c r="AC11" s="1"/>
      <c r="AD11" s="1"/>
      <c r="AE11" s="1"/>
      <c r="AF11" s="1"/>
      <c r="AG11" s="1"/>
      <c r="AH11" s="1"/>
      <c r="AI11" s="1"/>
      <c r="AJ11" s="1"/>
      <c r="AK11" s="27"/>
      <c r="AL11" s="27"/>
      <c r="AM11" s="27"/>
      <c r="AN11" s="27"/>
      <c r="AO11" s="27"/>
      <c r="AP11" s="27"/>
      <c r="AQ11" s="1" t="s">
        <v>118</v>
      </c>
      <c r="AR11" s="1">
        <v>32.031999999999996</v>
      </c>
      <c r="AS11" s="1" t="s">
        <v>23</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pans="1:74" x14ac:dyDescent="0.2">
      <c r="A12" s="13"/>
      <c r="B12" s="67"/>
      <c r="C12" s="1" t="s">
        <v>0</v>
      </c>
      <c r="D12" s="1"/>
      <c r="E12" s="27">
        <f>IF(B9=1,(E69+I9*(AR8/AR7)*E70), I8*E70)</f>
        <v>4.2099908289341794</v>
      </c>
      <c r="F12" s="27" t="s">
        <v>71</v>
      </c>
      <c r="G12" s="13"/>
      <c r="H12" s="13"/>
      <c r="I12" s="27"/>
      <c r="J12" s="13"/>
      <c r="K12" s="13"/>
      <c r="L12" s="30"/>
      <c r="M12" s="27"/>
      <c r="N12" s="27"/>
      <c r="O12" s="13"/>
      <c r="P12" s="27"/>
      <c r="Q12" s="27"/>
      <c r="R12" s="27">
        <f>IF(B5=1,AN77,0)</f>
        <v>0</v>
      </c>
      <c r="S12" s="27" t="s">
        <v>210</v>
      </c>
      <c r="T12" s="27"/>
      <c r="U12" s="27"/>
      <c r="V12" s="27"/>
      <c r="W12" s="13"/>
      <c r="X12" s="13"/>
      <c r="Y12" s="13"/>
      <c r="Z12" s="27"/>
      <c r="AA12" s="27"/>
      <c r="AB12" s="27"/>
      <c r="AC12" s="1"/>
      <c r="AD12" s="1"/>
      <c r="AE12" s="1"/>
      <c r="AF12" s="1"/>
      <c r="AG12" s="1"/>
      <c r="AH12" s="1"/>
      <c r="AI12" s="1"/>
      <c r="AJ12" s="1"/>
      <c r="AK12" s="27"/>
      <c r="AL12" s="27"/>
      <c r="AM12" s="27"/>
      <c r="AN12" s="27"/>
      <c r="AO12" s="27"/>
      <c r="AP12" s="27"/>
      <c r="AQ12" s="13" t="s">
        <v>495</v>
      </c>
      <c r="AR12" s="13">
        <f>2*12+6*1.008+16</f>
        <v>46.048000000000002</v>
      </c>
      <c r="AS12" s="1" t="s">
        <v>23</v>
      </c>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pans="1:74" x14ac:dyDescent="0.2">
      <c r="A13" s="13"/>
      <c r="B13" s="68"/>
      <c r="C13" s="1" t="s">
        <v>21</v>
      </c>
      <c r="D13" s="1"/>
      <c r="E13" s="27">
        <f>E89</f>
        <v>33.26241788278525</v>
      </c>
      <c r="F13" s="27" t="s">
        <v>186</v>
      </c>
      <c r="G13" s="13"/>
      <c r="H13" s="13"/>
      <c r="I13" s="29" t="s">
        <v>308</v>
      </c>
      <c r="J13" s="27"/>
      <c r="K13" s="13"/>
      <c r="L13" s="112">
        <f>17+1/9*22000*I18/1000000</f>
        <v>22.642855523755902</v>
      </c>
      <c r="M13" s="27" t="s">
        <v>157</v>
      </c>
      <c r="N13" s="27"/>
      <c r="O13" s="27"/>
      <c r="P13" s="27"/>
      <c r="Q13" s="27"/>
      <c r="R13" s="27">
        <f>AN94</f>
        <v>23.733876064530357</v>
      </c>
      <c r="S13" s="30" t="s">
        <v>186</v>
      </c>
      <c r="T13" s="13"/>
      <c r="U13" s="27"/>
      <c r="V13" s="27"/>
      <c r="W13" s="29" t="s">
        <v>576</v>
      </c>
      <c r="X13" s="13"/>
      <c r="Y13" s="13"/>
      <c r="Z13" s="13"/>
      <c r="AA13" s="27"/>
      <c r="AB13" s="27"/>
      <c r="AC13" s="1"/>
      <c r="AD13" s="1"/>
      <c r="AE13" s="1"/>
      <c r="AF13" s="1"/>
      <c r="AG13" s="1"/>
      <c r="AH13" s="1"/>
      <c r="AI13" s="1"/>
      <c r="AJ13" s="1"/>
      <c r="AK13" s="27"/>
      <c r="AL13" s="29"/>
      <c r="AM13" s="27"/>
      <c r="AN13" s="27"/>
      <c r="AO13" s="27"/>
      <c r="AP13" s="27"/>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pans="1:74" x14ac:dyDescent="0.2">
      <c r="A14" s="13"/>
      <c r="B14" s="69"/>
      <c r="C14" s="1" t="s">
        <v>1</v>
      </c>
      <c r="D14" s="1"/>
      <c r="E14" s="19">
        <v>20</v>
      </c>
      <c r="F14" s="19" t="s">
        <v>486</v>
      </c>
      <c r="G14" s="19"/>
      <c r="H14" s="19"/>
      <c r="I14" s="27" t="s">
        <v>341</v>
      </c>
      <c r="J14" s="27"/>
      <c r="K14" s="13"/>
      <c r="L14" s="30">
        <f>L13*1</f>
        <v>22.642855523755902</v>
      </c>
      <c r="M14" s="27" t="s">
        <v>157</v>
      </c>
      <c r="N14" s="27"/>
      <c r="O14" s="27"/>
      <c r="P14" s="27"/>
      <c r="Q14" s="27"/>
      <c r="R14" s="13">
        <v>80</v>
      </c>
      <c r="S14" s="13" t="s">
        <v>486</v>
      </c>
      <c r="T14" s="13"/>
      <c r="U14" s="27"/>
      <c r="V14" s="27"/>
      <c r="W14" s="27" t="s">
        <v>128</v>
      </c>
      <c r="X14" s="13"/>
      <c r="Y14" s="13"/>
      <c r="Z14" s="13"/>
      <c r="AA14" s="27"/>
      <c r="AB14" s="27"/>
      <c r="AC14" s="1"/>
      <c r="AD14" s="1"/>
      <c r="AE14" s="1"/>
      <c r="AF14" s="1"/>
      <c r="AG14" s="1"/>
      <c r="AH14" s="1"/>
      <c r="AI14" s="1"/>
      <c r="AJ14" s="1"/>
      <c r="AK14" s="1"/>
      <c r="AL14" s="1"/>
      <c r="AM14" s="1"/>
      <c r="AN14" s="1"/>
      <c r="AO14" s="1"/>
      <c r="AP14" s="13"/>
      <c r="AQ14" s="2" t="s">
        <v>56</v>
      </c>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pans="1:74" x14ac:dyDescent="0.2">
      <c r="A15" s="13"/>
      <c r="B15" s="70"/>
      <c r="C15" s="1" t="s">
        <v>116</v>
      </c>
      <c r="D15" s="1"/>
      <c r="E15" s="19"/>
      <c r="F15" s="19"/>
      <c r="G15" s="19"/>
      <c r="H15" s="19"/>
      <c r="I15" s="13"/>
      <c r="J15" s="27"/>
      <c r="K15" s="13"/>
      <c r="L15" s="30"/>
      <c r="M15" s="27"/>
      <c r="N15" s="27"/>
      <c r="O15" s="27"/>
      <c r="P15" s="27"/>
      <c r="Q15" s="27"/>
      <c r="R15" s="27"/>
      <c r="S15" s="27"/>
      <c r="T15" s="27"/>
      <c r="U15" s="27"/>
      <c r="V15" s="27"/>
      <c r="W15" s="27"/>
      <c r="X15" s="13"/>
      <c r="Y15" s="13"/>
      <c r="Z15" s="13"/>
      <c r="AA15" s="27"/>
      <c r="AB15" s="27"/>
      <c r="AC15" s="1"/>
      <c r="AD15" s="1"/>
      <c r="AE15" s="1"/>
      <c r="AF15" s="1"/>
      <c r="AG15" s="1"/>
      <c r="AH15" s="1"/>
      <c r="AI15" s="1"/>
      <c r="AJ15" s="1"/>
      <c r="AK15" s="27"/>
      <c r="AL15" s="27"/>
      <c r="AM15" s="1"/>
      <c r="AN15" s="1"/>
      <c r="AO15" s="1"/>
      <c r="AP15" s="13"/>
      <c r="AQ15" s="1"/>
      <c r="AR15" s="27">
        <f>IF(B7=1,G22*(AR6/AR8),0)</f>
        <v>0</v>
      </c>
      <c r="AS15" s="1" t="s">
        <v>27</v>
      </c>
      <c r="AT15" s="1" t="s">
        <v>30</v>
      </c>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pans="1:74" x14ac:dyDescent="0.2">
      <c r="A16" s="13"/>
      <c r="B16" s="71"/>
      <c r="C16" s="1" t="s">
        <v>3</v>
      </c>
      <c r="D16" s="1"/>
      <c r="E16" s="19"/>
      <c r="F16" s="19"/>
      <c r="G16" s="19"/>
      <c r="H16" s="19"/>
      <c r="I16" s="27">
        <f>O81</f>
        <v>1970.25</v>
      </c>
      <c r="J16" s="27" t="s">
        <v>189</v>
      </c>
      <c r="K16" s="13"/>
      <c r="L16" s="30"/>
      <c r="M16" s="27"/>
      <c r="N16" s="27"/>
      <c r="O16" s="27"/>
      <c r="P16" s="27"/>
      <c r="Q16" s="27"/>
      <c r="R16" s="27"/>
      <c r="S16" s="27"/>
      <c r="T16" s="27"/>
      <c r="U16" s="27"/>
      <c r="V16" s="27"/>
      <c r="W16" s="27">
        <f>R12*AV69*(AR9/AR11)*(1/11)</f>
        <v>0</v>
      </c>
      <c r="X16" s="27" t="s">
        <v>71</v>
      </c>
      <c r="Y16" s="13"/>
      <c r="Z16" s="13"/>
      <c r="AA16" s="27"/>
      <c r="AB16" s="27"/>
      <c r="AC16" s="1"/>
      <c r="AD16" s="1"/>
      <c r="AE16" s="1"/>
      <c r="AF16" s="1"/>
      <c r="AG16" s="1"/>
      <c r="AH16" s="1"/>
      <c r="AI16" s="1"/>
      <c r="AJ16" s="1"/>
      <c r="AK16" s="27"/>
      <c r="AL16" s="27"/>
      <c r="AM16" s="13"/>
      <c r="AN16" s="1"/>
      <c r="AO16" s="1"/>
      <c r="AP16" s="13"/>
      <c r="AQ16" s="13"/>
      <c r="AR16" s="27">
        <f>IF(B6=1,(K22+L30+O8)*(23/11)*(AR6/AR7),0)</f>
        <v>0.86024892896127403</v>
      </c>
      <c r="AS16" s="1" t="s">
        <v>27</v>
      </c>
      <c r="AT16" s="1" t="s">
        <v>2</v>
      </c>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pans="1:74" x14ac:dyDescent="0.2">
      <c r="A17" s="13"/>
      <c r="B17" s="72"/>
      <c r="C17" s="1" t="s">
        <v>25</v>
      </c>
      <c r="D17" s="1"/>
      <c r="E17" s="19"/>
      <c r="F17" s="19"/>
      <c r="G17" s="19"/>
      <c r="H17" s="19"/>
      <c r="I17" s="27">
        <f>O97</f>
        <v>338.1908960819602</v>
      </c>
      <c r="J17" s="27" t="s">
        <v>208</v>
      </c>
      <c r="K17" s="13"/>
      <c r="L17" s="30"/>
      <c r="M17" s="27"/>
      <c r="N17" s="27"/>
      <c r="O17" s="27"/>
      <c r="P17" s="27"/>
      <c r="Q17" s="27"/>
      <c r="R17" s="27"/>
      <c r="S17" s="27"/>
      <c r="T17" s="27"/>
      <c r="U17" s="27"/>
      <c r="V17" s="27"/>
      <c r="W17" s="35">
        <f>IF(B5=1,AV98,0)</f>
        <v>0</v>
      </c>
      <c r="X17" s="30" t="s">
        <v>186</v>
      </c>
      <c r="Y17" s="27"/>
      <c r="Z17" s="13"/>
      <c r="AA17" s="27"/>
      <c r="AB17" s="27"/>
      <c r="AC17" s="1"/>
      <c r="AD17" s="1"/>
      <c r="AE17" s="1"/>
      <c r="AF17" s="1"/>
      <c r="AG17" s="1"/>
      <c r="AH17" s="1"/>
      <c r="AI17" s="1"/>
      <c r="AJ17" s="1"/>
      <c r="AK17" s="27"/>
      <c r="AL17" s="27"/>
      <c r="AM17" s="13"/>
      <c r="AN17" s="1"/>
      <c r="AO17" s="1"/>
      <c r="AP17" s="13"/>
      <c r="AQ17" s="1"/>
      <c r="AR17" s="27">
        <f>IF(B5=1,G22*(33/11)*(AR6/AR8)+O8*(22/11)*AR6/AR7,0)</f>
        <v>0</v>
      </c>
      <c r="AS17" s="1" t="s">
        <v>27</v>
      </c>
      <c r="AT17" s="1" t="s">
        <v>116</v>
      </c>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pans="1:74" x14ac:dyDescent="0.2">
      <c r="A18" s="13"/>
      <c r="C18" s="13"/>
      <c r="D18" s="1"/>
      <c r="E18" s="19"/>
      <c r="F18" s="19"/>
      <c r="G18" s="19"/>
      <c r="H18" s="19"/>
      <c r="I18" s="27">
        <f>I16+I17</f>
        <v>2308.4408960819601</v>
      </c>
      <c r="J18" s="27" t="s">
        <v>209</v>
      </c>
      <c r="K18" s="13"/>
      <c r="L18" s="29" t="s">
        <v>573</v>
      </c>
      <c r="M18" s="13"/>
      <c r="N18" s="27"/>
      <c r="O18" s="13"/>
      <c r="P18" s="27"/>
      <c r="Q18" s="27"/>
      <c r="R18" s="13"/>
      <c r="S18" s="13"/>
      <c r="T18" s="27"/>
      <c r="U18" s="27"/>
      <c r="V18" s="27"/>
      <c r="W18" s="13"/>
      <c r="X18" s="13"/>
      <c r="Y18" s="30"/>
      <c r="Z18" s="13"/>
      <c r="AA18" s="27"/>
      <c r="AB18" s="27"/>
      <c r="AC18" s="1"/>
      <c r="AD18" s="1"/>
      <c r="AE18" s="1"/>
      <c r="AF18" s="1"/>
      <c r="AG18" s="1"/>
      <c r="AH18" s="1"/>
      <c r="AI18" s="1"/>
      <c r="AJ18" s="1"/>
      <c r="AK18" s="27"/>
      <c r="AL18" s="27"/>
      <c r="AM18" s="13"/>
      <c r="AN18" s="27"/>
      <c r="AO18" s="1"/>
      <c r="AP18" s="13"/>
      <c r="AQ18" s="1"/>
      <c r="AR18" s="27">
        <f>IF(B5=1,R12*(1/11)*(AR6/AR11),0)</f>
        <v>0</v>
      </c>
      <c r="AS18" s="1" t="s">
        <v>27</v>
      </c>
      <c r="AT18" s="1" t="s">
        <v>129</v>
      </c>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pans="1:74" x14ac:dyDescent="0.2">
      <c r="A19" s="13"/>
      <c r="C19" s="1"/>
      <c r="D19" s="1"/>
      <c r="E19" s="19"/>
      <c r="F19" s="19"/>
      <c r="G19" s="19"/>
      <c r="H19" s="19"/>
      <c r="I19" s="126">
        <v>20</v>
      </c>
      <c r="J19" s="27" t="s">
        <v>486</v>
      </c>
      <c r="K19" s="27"/>
      <c r="L19" s="27" t="s">
        <v>307</v>
      </c>
      <c r="M19" s="13"/>
      <c r="N19" s="29"/>
      <c r="O19" s="13"/>
      <c r="P19" s="29"/>
      <c r="Q19" s="27"/>
      <c r="R19" s="27"/>
      <c r="S19" s="27"/>
      <c r="T19" s="27"/>
      <c r="U19" s="27"/>
      <c r="V19" s="27"/>
      <c r="W19" s="27"/>
      <c r="X19" s="27"/>
      <c r="Y19" s="27"/>
      <c r="Z19" s="27"/>
      <c r="AA19" s="27"/>
      <c r="AB19" s="27"/>
      <c r="AC19" s="1"/>
      <c r="AD19" s="1"/>
      <c r="AE19" s="1"/>
      <c r="AF19" s="1"/>
      <c r="AG19" s="1"/>
      <c r="AH19" s="1"/>
      <c r="AI19" s="1"/>
      <c r="AJ19" s="1"/>
      <c r="AK19" s="27"/>
      <c r="AL19" s="27"/>
      <c r="AM19" s="13"/>
      <c r="AN19" s="29"/>
      <c r="AO19" s="1"/>
      <c r="AP19" s="13"/>
      <c r="AQ19" s="1" t="s">
        <v>603</v>
      </c>
      <c r="AR19" s="27">
        <f>AR16+AR15+AR17+AR18</f>
        <v>0.86024892896127403</v>
      </c>
      <c r="AS19" s="1" t="s">
        <v>27</v>
      </c>
      <c r="AT19" s="1" t="s">
        <v>1</v>
      </c>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pans="1:74" x14ac:dyDescent="0.2">
      <c r="A20" s="13"/>
      <c r="C20" s="1"/>
      <c r="D20" s="1"/>
      <c r="E20" s="1"/>
      <c r="F20" s="1"/>
      <c r="G20" s="1"/>
      <c r="H20" s="1"/>
      <c r="I20" s="27"/>
      <c r="J20" s="27"/>
      <c r="K20" s="27"/>
      <c r="L20" s="27"/>
      <c r="M20" s="27"/>
      <c r="N20" s="27"/>
      <c r="O20" s="27"/>
      <c r="P20" s="27"/>
      <c r="Q20" s="27"/>
      <c r="R20" s="27"/>
      <c r="S20" s="27"/>
      <c r="T20" s="27"/>
      <c r="U20" s="27"/>
      <c r="V20" s="27"/>
      <c r="W20" s="27"/>
      <c r="X20" s="27"/>
      <c r="Y20" s="27"/>
      <c r="Z20" s="27"/>
      <c r="AA20" s="27"/>
      <c r="AB20" s="27"/>
      <c r="AC20" s="1"/>
      <c r="AD20" s="1"/>
      <c r="AE20" s="1"/>
      <c r="AF20" s="1"/>
      <c r="AG20" s="1"/>
      <c r="AH20" s="1"/>
      <c r="AI20" s="1"/>
      <c r="AJ20" s="1"/>
      <c r="AK20" s="1"/>
      <c r="AL20" s="1"/>
      <c r="AM20" s="1"/>
      <c r="AN20" s="1"/>
      <c r="AO20" s="1"/>
      <c r="AP20" s="13"/>
      <c r="AQ20" s="1"/>
      <c r="AR20" s="27">
        <f>AR19*(1/2)*(AR10/AR6)</f>
        <v>6.8273724520736039</v>
      </c>
      <c r="AS20" s="1" t="s">
        <v>27</v>
      </c>
      <c r="AT20" s="1" t="s">
        <v>31</v>
      </c>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pans="1:74" x14ac:dyDescent="0.2">
      <c r="A21" s="13"/>
      <c r="C21" s="1"/>
      <c r="D21" s="1"/>
      <c r="E21" s="1"/>
      <c r="F21" s="1"/>
      <c r="G21" s="1"/>
      <c r="H21" s="1"/>
      <c r="I21" s="27"/>
      <c r="J21" s="27"/>
      <c r="K21" s="27"/>
      <c r="L21" s="27"/>
      <c r="M21" s="27"/>
      <c r="N21" s="27"/>
      <c r="O21" s="27"/>
      <c r="P21" s="27"/>
      <c r="Q21" s="27"/>
      <c r="R21" s="27"/>
      <c r="S21" s="27"/>
      <c r="T21" s="27"/>
      <c r="U21" s="27"/>
      <c r="V21" s="27"/>
      <c r="W21" s="27"/>
      <c r="X21" s="27"/>
      <c r="Y21" s="27"/>
      <c r="Z21" s="27"/>
      <c r="AA21" s="27"/>
      <c r="AB21" s="27"/>
      <c r="AC21" s="1"/>
      <c r="AD21" s="1"/>
      <c r="AE21" s="1"/>
      <c r="AF21" s="1"/>
      <c r="AG21" s="1"/>
      <c r="AH21" s="1"/>
      <c r="AI21" s="1"/>
      <c r="AJ21" s="1"/>
      <c r="AK21" s="1"/>
      <c r="AM21" s="1"/>
      <c r="AN21" s="1"/>
      <c r="AO21" s="1"/>
      <c r="AP21" s="13"/>
      <c r="AQ21" s="79" t="s">
        <v>257</v>
      </c>
      <c r="AR21" s="43">
        <f>L30*(AR10/AR7)/2</f>
        <v>1.530030952686936</v>
      </c>
      <c r="AS21" s="13" t="s">
        <v>27</v>
      </c>
      <c r="AT21" s="13" t="s">
        <v>31</v>
      </c>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pans="1:74" x14ac:dyDescent="0.2">
      <c r="A22" s="13"/>
      <c r="C22" s="42">
        <v>0</v>
      </c>
      <c r="D22" s="27" t="s">
        <v>71</v>
      </c>
      <c r="E22" s="1"/>
      <c r="F22" s="1"/>
      <c r="G22" s="27">
        <f>E12+C22</f>
        <v>4.2099908289341794</v>
      </c>
      <c r="H22" s="27" t="s">
        <v>71</v>
      </c>
      <c r="I22" s="27"/>
      <c r="J22" s="27"/>
      <c r="K22" s="43">
        <f>IF(B7=1,W113,0)</f>
        <v>0</v>
      </c>
      <c r="L22" s="27" t="s">
        <v>71</v>
      </c>
      <c r="M22" s="13"/>
      <c r="N22" s="13"/>
      <c r="O22" s="13"/>
      <c r="P22" s="13"/>
      <c r="Q22" s="13"/>
      <c r="R22" s="27"/>
      <c r="S22" s="27"/>
      <c r="T22" s="27"/>
      <c r="U22" s="27"/>
      <c r="V22" s="27"/>
      <c r="W22" s="27"/>
      <c r="X22" s="27"/>
      <c r="Y22" s="27"/>
      <c r="Z22" s="27"/>
      <c r="AA22" s="27"/>
      <c r="AB22" s="27"/>
      <c r="AC22" s="1"/>
      <c r="AD22" s="1"/>
      <c r="AE22" s="1"/>
      <c r="AF22" s="1"/>
      <c r="AG22" s="1"/>
      <c r="AH22" s="1"/>
      <c r="AI22" s="1"/>
      <c r="AJ22" s="1"/>
      <c r="AK22" s="1"/>
      <c r="AL22" s="1"/>
      <c r="AM22" s="1"/>
      <c r="AN22" s="1"/>
      <c r="AO22" s="1"/>
      <c r="AP22" s="13"/>
      <c r="AQ22" s="13" t="s">
        <v>258</v>
      </c>
      <c r="AR22" s="43">
        <f>SUM(AR20:AR21)</f>
        <v>8.3574034047605394</v>
      </c>
      <c r="AS22" s="13" t="s">
        <v>259</v>
      </c>
      <c r="AT22" s="13" t="s">
        <v>31</v>
      </c>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pans="1:74" x14ac:dyDescent="0.2">
      <c r="A23" s="13"/>
      <c r="C23" s="27">
        <f>E111</f>
        <v>82.825150514107207</v>
      </c>
      <c r="D23" s="27" t="s">
        <v>186</v>
      </c>
      <c r="E23" s="13"/>
      <c r="F23" s="13"/>
      <c r="G23" s="27">
        <f>IF(E12+C22=0,0,(E13*E12+C22*C23)/(E12+C22))</f>
        <v>33.26241788278525</v>
      </c>
      <c r="H23" s="27" t="s">
        <v>186</v>
      </c>
      <c r="I23" s="13"/>
      <c r="J23" s="13"/>
      <c r="K23" s="35">
        <f>W148</f>
        <v>38.053842082313757</v>
      </c>
      <c r="L23" s="30" t="s">
        <v>186</v>
      </c>
      <c r="M23" s="13"/>
      <c r="N23" s="13"/>
      <c r="O23" s="13"/>
      <c r="P23" s="13"/>
      <c r="Q23" s="13"/>
      <c r="R23" s="29" t="s">
        <v>633</v>
      </c>
      <c r="S23" s="13"/>
      <c r="T23" s="27"/>
      <c r="U23" s="27"/>
      <c r="V23" s="27"/>
      <c r="W23" s="29">
        <f>S27*AE70+W16</f>
        <v>1.7708620981849466</v>
      </c>
      <c r="X23" s="27" t="s">
        <v>71</v>
      </c>
      <c r="Y23" s="13"/>
      <c r="Z23" s="27"/>
      <c r="AA23" s="27"/>
      <c r="AB23" s="27"/>
      <c r="AC23" s="1"/>
      <c r="AD23" s="1"/>
      <c r="AE23" s="1"/>
      <c r="AF23" s="1"/>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pans="1:74" x14ac:dyDescent="0.2">
      <c r="A24" s="13"/>
      <c r="C24" s="13" t="s">
        <v>487</v>
      </c>
      <c r="D24" s="13"/>
      <c r="E24" s="13"/>
      <c r="F24" s="13"/>
      <c r="G24" s="13">
        <v>20</v>
      </c>
      <c r="H24" s="13" t="s">
        <v>486</v>
      </c>
      <c r="I24" s="13"/>
      <c r="J24" s="13"/>
      <c r="K24" s="27">
        <f>W155+K23</f>
        <v>213.00936262747288</v>
      </c>
      <c r="L24" s="30" t="s">
        <v>186</v>
      </c>
      <c r="M24" s="13" t="s">
        <v>589</v>
      </c>
      <c r="N24" s="13"/>
      <c r="O24" s="13"/>
      <c r="P24" s="13"/>
      <c r="Q24" s="13"/>
      <c r="R24" s="27" t="s">
        <v>24</v>
      </c>
      <c r="S24" s="13"/>
      <c r="T24" s="27"/>
      <c r="U24" s="27"/>
      <c r="V24" s="27"/>
      <c r="W24" s="27">
        <f>O50</f>
        <v>1291.1504956781225</v>
      </c>
      <c r="X24" s="30" t="s">
        <v>186</v>
      </c>
      <c r="Y24" s="13"/>
      <c r="Z24" s="27"/>
      <c r="AA24" s="27"/>
      <c r="AB24" s="27"/>
      <c r="AC24" s="1"/>
      <c r="AD24" s="1"/>
      <c r="AE24" s="1"/>
      <c r="AF24" s="1"/>
      <c r="AG24" s="13"/>
      <c r="AH24" s="13"/>
      <c r="AI24" s="13"/>
      <c r="AJ24" s="13"/>
      <c r="AK24" s="13"/>
      <c r="AL24" s="13"/>
      <c r="AM24" s="13"/>
      <c r="AN24" s="13"/>
      <c r="AO24" s="13"/>
      <c r="AP24" s="13"/>
      <c r="AQ24" s="29" t="s">
        <v>154</v>
      </c>
      <c r="AR24" s="1">
        <v>54.2</v>
      </c>
      <c r="AS24" s="27" t="s">
        <v>186</v>
      </c>
      <c r="AT24" s="1" t="s">
        <v>416</v>
      </c>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pans="1:74" x14ac:dyDescent="0.2">
      <c r="A25" s="13"/>
      <c r="C25" s="1"/>
      <c r="D25" s="1"/>
      <c r="E25" s="1"/>
      <c r="F25" s="1"/>
      <c r="G25" s="1"/>
      <c r="H25" s="1"/>
      <c r="I25" s="27"/>
      <c r="J25" s="27"/>
      <c r="K25" s="127">
        <v>20</v>
      </c>
      <c r="L25" s="27" t="s">
        <v>486</v>
      </c>
      <c r="M25" s="13" t="s">
        <v>590</v>
      </c>
      <c r="N25" s="27"/>
      <c r="O25" s="13"/>
      <c r="P25" s="13"/>
      <c r="Q25" s="13"/>
      <c r="R25" s="27"/>
      <c r="S25" s="27"/>
      <c r="T25" s="27"/>
      <c r="U25" s="27"/>
      <c r="V25" s="27"/>
      <c r="W25" s="27"/>
      <c r="X25" s="27"/>
      <c r="Y25" s="27"/>
      <c r="Z25" s="27"/>
      <c r="AA25" s="27"/>
      <c r="AB25" s="27"/>
      <c r="AC25" s="1"/>
      <c r="AD25" s="1"/>
      <c r="AE25" s="1"/>
      <c r="AF25" s="1"/>
      <c r="AG25" s="13"/>
      <c r="AH25" s="13"/>
      <c r="AI25" s="13"/>
      <c r="AJ25" s="13"/>
      <c r="AK25" s="13"/>
      <c r="AL25" s="13"/>
      <c r="AM25" s="13"/>
      <c r="AN25" s="13"/>
      <c r="AO25" s="13"/>
      <c r="AP25" s="13"/>
      <c r="AQ25" s="27"/>
      <c r="AR25" s="43">
        <f>Tata_gases!C172</f>
        <v>26.236641007697692</v>
      </c>
      <c r="AS25" s="27" t="s">
        <v>186</v>
      </c>
      <c r="AT25" s="13" t="s">
        <v>354</v>
      </c>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pans="1:74" x14ac:dyDescent="0.2">
      <c r="A26" s="13"/>
      <c r="C26" s="1"/>
      <c r="D26" s="1"/>
      <c r="E26" s="1"/>
      <c r="F26" s="1"/>
      <c r="G26" s="1"/>
      <c r="H26" s="1"/>
      <c r="I26" s="27"/>
      <c r="J26" s="29"/>
      <c r="K26" s="13"/>
      <c r="L26" s="27"/>
      <c r="M26" s="13"/>
      <c r="N26" s="29"/>
      <c r="O26" s="27"/>
      <c r="P26" s="27"/>
      <c r="Q26" s="27"/>
      <c r="R26" s="27"/>
      <c r="S26" s="27"/>
      <c r="T26" s="27"/>
      <c r="U26" s="27"/>
      <c r="V26" s="27"/>
      <c r="W26" s="27"/>
      <c r="X26" s="27"/>
      <c r="Y26" s="27"/>
      <c r="Z26" s="27"/>
      <c r="AA26" s="27"/>
      <c r="AB26" s="27"/>
      <c r="AC26" s="1"/>
      <c r="AD26" s="1"/>
      <c r="AE26" s="1"/>
      <c r="AF26" s="1"/>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pans="1:74" x14ac:dyDescent="0.2">
      <c r="A27" s="13"/>
      <c r="C27" s="1"/>
      <c r="D27" s="1"/>
      <c r="E27" s="1"/>
      <c r="F27" s="1"/>
      <c r="G27" s="1"/>
      <c r="H27" s="1"/>
      <c r="I27" s="29"/>
      <c r="J27" s="27"/>
      <c r="K27" s="13"/>
      <c r="L27" s="13"/>
      <c r="M27" s="13"/>
      <c r="N27" s="27"/>
      <c r="O27" s="27"/>
      <c r="P27" s="27"/>
      <c r="Q27" s="27"/>
      <c r="R27" s="27"/>
      <c r="S27" s="27">
        <f>IF(B6=1,(K22+L30+O8)/(11*AR7)*AR9,0)</f>
        <v>2.8977743424844578</v>
      </c>
      <c r="T27" s="27" t="s">
        <v>71</v>
      </c>
      <c r="U27" s="27"/>
      <c r="V27" s="27"/>
      <c r="W27" s="27"/>
      <c r="X27" s="27"/>
      <c r="Y27" s="27"/>
      <c r="Z27" s="27"/>
      <c r="AA27" s="27"/>
      <c r="AB27" s="27"/>
      <c r="AC27" s="1"/>
      <c r="AD27" s="1"/>
      <c r="AE27" s="1"/>
      <c r="AF27" s="1"/>
      <c r="AG27" s="13"/>
      <c r="AH27" s="13"/>
      <c r="AI27" s="13"/>
      <c r="AJ27" s="13"/>
      <c r="AK27" s="13"/>
      <c r="AL27" s="13"/>
      <c r="AM27" s="13"/>
      <c r="AN27" s="13"/>
      <c r="AO27" s="13"/>
      <c r="AP27" s="13"/>
      <c r="AQ27" s="2" t="s">
        <v>425</v>
      </c>
      <c r="AR27" s="1">
        <v>0.80400000000000005</v>
      </c>
      <c r="AS27" s="1" t="s">
        <v>426</v>
      </c>
      <c r="AT27" s="1"/>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pans="1:74" x14ac:dyDescent="0.2">
      <c r="A28" s="13"/>
      <c r="B28" s="2" t="s">
        <v>547</v>
      </c>
      <c r="C28" s="2"/>
      <c r="D28" s="13" t="s">
        <v>516</v>
      </c>
      <c r="E28" s="1"/>
      <c r="F28" s="1"/>
      <c r="G28" s="1"/>
      <c r="H28" s="1"/>
      <c r="I28" s="27"/>
      <c r="J28" s="27"/>
      <c r="K28" s="27"/>
      <c r="L28" s="29" t="s">
        <v>574</v>
      </c>
      <c r="M28" s="27"/>
      <c r="N28" s="27"/>
      <c r="O28" s="27"/>
      <c r="P28" s="13"/>
      <c r="Q28" s="27"/>
      <c r="R28" s="13"/>
      <c r="S28" s="35">
        <f>IF(B6=1,AE97,0)</f>
        <v>81.148452911144801</v>
      </c>
      <c r="T28" s="30" t="s">
        <v>186</v>
      </c>
      <c r="U28" s="27"/>
      <c r="V28" s="27"/>
      <c r="W28" s="27"/>
      <c r="X28" s="27"/>
      <c r="Y28" s="27"/>
      <c r="Z28" s="27"/>
      <c r="AA28" s="1"/>
      <c r="AB28" s="27"/>
      <c r="AC28" s="1"/>
      <c r="AD28" s="1"/>
      <c r="AE28" s="1"/>
      <c r="AF28" s="1"/>
      <c r="AG28" s="13"/>
      <c r="AH28" s="13"/>
      <c r="AI28" s="13"/>
      <c r="AJ28" s="13"/>
      <c r="AK28" s="13"/>
      <c r="AL28" s="13"/>
      <c r="AM28" s="13"/>
      <c r="AN28" s="27"/>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pans="1:74" x14ac:dyDescent="0.2">
      <c r="A29" s="13"/>
      <c r="B29" s="2"/>
      <c r="C29" s="2"/>
      <c r="D29" s="13"/>
      <c r="E29" s="1"/>
      <c r="F29" s="1"/>
      <c r="G29" s="1"/>
      <c r="H29" s="1"/>
      <c r="I29" s="27"/>
      <c r="J29" s="27"/>
      <c r="K29" s="27"/>
      <c r="L29" s="27"/>
      <c r="M29" s="27"/>
      <c r="N29" s="27"/>
      <c r="O29" s="27"/>
      <c r="P29" s="27"/>
      <c r="R29" s="13"/>
      <c r="S29" s="127">
        <v>20</v>
      </c>
      <c r="T29" s="27" t="s">
        <v>486</v>
      </c>
      <c r="U29" s="27"/>
      <c r="V29" s="27"/>
      <c r="W29" s="29">
        <f>AE71*S27</f>
        <v>1.1269122442995112</v>
      </c>
      <c r="X29" s="27" t="s">
        <v>71</v>
      </c>
      <c r="Y29" s="27"/>
      <c r="Z29" s="27"/>
      <c r="AA29" s="1"/>
      <c r="AB29" s="27"/>
      <c r="AC29" s="1"/>
      <c r="AD29" s="1"/>
      <c r="AE29" s="1"/>
      <c r="AF29" s="1"/>
      <c r="AG29" s="13"/>
      <c r="AH29" s="13"/>
      <c r="AI29" s="13"/>
      <c r="AJ29" s="13"/>
      <c r="AK29" s="13"/>
      <c r="AL29" s="13"/>
      <c r="AM29" s="13"/>
      <c r="AN29" s="13"/>
      <c r="AO29" s="13"/>
      <c r="AP29" s="13"/>
      <c r="AQ29" s="23" t="s">
        <v>420</v>
      </c>
      <c r="AR29" s="13">
        <v>0.05</v>
      </c>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pans="1:74" x14ac:dyDescent="0.2">
      <c r="A30" s="13"/>
      <c r="B30" s="12">
        <v>1</v>
      </c>
      <c r="C30" s="22" t="s">
        <v>568</v>
      </c>
      <c r="D30" s="13"/>
      <c r="E30" s="1"/>
      <c r="F30" s="1"/>
      <c r="G30" s="1"/>
      <c r="H30" s="1"/>
      <c r="I30" s="27"/>
      <c r="J30" s="27"/>
      <c r="K30" s="27"/>
      <c r="L30" s="27">
        <f>IF(B8=1,W91,0)</f>
        <v>2.6775541672021381</v>
      </c>
      <c r="M30" s="27" t="s">
        <v>71</v>
      </c>
      <c r="N30" s="27"/>
      <c r="O30" s="27"/>
      <c r="P30" s="27"/>
      <c r="Q30" s="27"/>
      <c r="R30" s="13"/>
      <c r="S30" s="13"/>
      <c r="T30" s="13"/>
      <c r="U30" s="27"/>
      <c r="V30" s="27"/>
      <c r="W30" s="27">
        <f>O48</f>
        <v>691.43332882339928</v>
      </c>
      <c r="X30" s="30" t="s">
        <v>186</v>
      </c>
      <c r="Y30" s="30"/>
      <c r="Z30" s="27"/>
      <c r="AA30" s="1"/>
      <c r="AB30" s="1"/>
      <c r="AC30" s="1"/>
      <c r="AD30" s="1"/>
      <c r="AE30" s="1"/>
      <c r="AF30" s="1"/>
      <c r="AG30" s="13"/>
      <c r="AH30" s="13"/>
      <c r="AI30" s="13"/>
      <c r="AJ30" s="13"/>
      <c r="AK30" s="2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pans="1:74" x14ac:dyDescent="0.2">
      <c r="A31" s="13"/>
      <c r="B31" s="12">
        <v>0</v>
      </c>
      <c r="C31" s="1" t="s">
        <v>518</v>
      </c>
      <c r="D31" s="1"/>
      <c r="E31" s="1"/>
      <c r="F31" s="1"/>
      <c r="G31" s="13"/>
      <c r="H31" s="1"/>
      <c r="I31" s="27"/>
      <c r="J31" s="27"/>
      <c r="K31" s="13"/>
      <c r="L31" s="27">
        <f>W106</f>
        <v>159.44961269283795</v>
      </c>
      <c r="M31" s="30" t="s">
        <v>186</v>
      </c>
      <c r="N31" s="13"/>
      <c r="O31" s="13"/>
      <c r="P31" s="13"/>
      <c r="Q31" s="13"/>
      <c r="R31" s="27"/>
      <c r="S31" s="27"/>
      <c r="T31" s="27"/>
      <c r="U31" s="27"/>
      <c r="V31" s="27"/>
      <c r="W31" s="13"/>
      <c r="X31" s="13"/>
      <c r="Y31" s="13"/>
      <c r="Z31" s="27"/>
      <c r="AA31" s="1"/>
      <c r="AB31" s="1"/>
      <c r="AC31" s="1"/>
      <c r="AD31" s="1"/>
      <c r="AE31" s="1"/>
      <c r="AF31" s="1"/>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pans="1:74" x14ac:dyDescent="0.2">
      <c r="A32" s="13"/>
      <c r="B32" s="12">
        <v>0</v>
      </c>
      <c r="C32" s="1" t="s">
        <v>515</v>
      </c>
      <c r="D32" s="1"/>
      <c r="E32" s="1"/>
      <c r="F32" s="27"/>
      <c r="G32" s="19"/>
      <c r="H32" s="13"/>
      <c r="I32" s="13"/>
      <c r="J32" s="27"/>
      <c r="K32" s="13"/>
      <c r="L32" s="13">
        <v>20</v>
      </c>
      <c r="M32" s="13" t="s">
        <v>486</v>
      </c>
      <c r="N32" s="13"/>
      <c r="O32" s="13"/>
      <c r="P32" s="13"/>
      <c r="Q32" s="13"/>
      <c r="R32" s="27"/>
      <c r="S32" s="27"/>
      <c r="T32" s="29"/>
      <c r="U32" s="27"/>
      <c r="V32" s="27"/>
      <c r="W32" s="27"/>
      <c r="X32" s="27"/>
      <c r="Y32" s="27"/>
      <c r="Z32" s="27"/>
      <c r="AA32" s="1"/>
      <c r="AB32" s="1"/>
      <c r="AC32" s="1"/>
      <c r="AD32" s="1"/>
      <c r="AE32" s="1"/>
      <c r="AF32" s="1"/>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pans="1:74" x14ac:dyDescent="0.2">
      <c r="A33" s="13"/>
      <c r="B33" s="12">
        <v>0</v>
      </c>
      <c r="C33" s="1" t="s">
        <v>517</v>
      </c>
      <c r="D33" s="1"/>
      <c r="E33" s="1"/>
      <c r="F33" s="1"/>
      <c r="G33" s="13" t="s">
        <v>417</v>
      </c>
      <c r="H33" s="13"/>
      <c r="I33" s="13" t="s">
        <v>519</v>
      </c>
      <c r="J33" s="27"/>
      <c r="K33" s="13"/>
      <c r="L33" s="13"/>
      <c r="M33" s="27"/>
      <c r="N33" s="27"/>
      <c r="O33" s="13"/>
      <c r="P33" s="13"/>
      <c r="Q33" s="19"/>
      <c r="R33" s="27"/>
      <c r="S33" s="27"/>
      <c r="T33" s="27"/>
      <c r="U33" s="27"/>
      <c r="V33" s="27"/>
      <c r="W33" s="27"/>
      <c r="X33" s="27"/>
      <c r="Y33" s="27"/>
      <c r="Z33" s="27"/>
      <c r="AA33" s="1"/>
      <c r="AB33" s="1"/>
      <c r="AC33" s="1"/>
      <c r="AD33" s="1"/>
      <c r="AE33" s="1"/>
      <c r="AF33" s="1"/>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pans="1:74" x14ac:dyDescent="0.2">
      <c r="A34" s="13"/>
      <c r="C34" s="1"/>
      <c r="D34" s="13">
        <v>150</v>
      </c>
      <c r="E34" s="1" t="s">
        <v>314</v>
      </c>
      <c r="F34" s="1"/>
      <c r="G34" s="13" t="s">
        <v>520</v>
      </c>
      <c r="H34" s="13"/>
      <c r="I34" s="13"/>
      <c r="J34" s="27"/>
      <c r="K34" s="23"/>
      <c r="L34" s="13"/>
      <c r="M34" s="27"/>
      <c r="N34" s="27"/>
      <c r="O34" s="13"/>
      <c r="P34" s="13"/>
      <c r="Q34" s="19"/>
      <c r="R34" s="27"/>
      <c r="S34" s="27"/>
      <c r="T34" s="27"/>
      <c r="U34" s="27"/>
      <c r="V34" s="27"/>
      <c r="W34" s="27"/>
      <c r="X34" s="27"/>
      <c r="Y34" s="27"/>
      <c r="Z34" s="27"/>
      <c r="AA34" s="1"/>
      <c r="AB34" s="1"/>
      <c r="AC34" s="1"/>
      <c r="AD34" s="1"/>
      <c r="AE34" s="1"/>
      <c r="AF34" s="1"/>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pans="1:74" x14ac:dyDescent="0.2">
      <c r="A35" s="13"/>
      <c r="C35" s="1"/>
      <c r="D35" s="27">
        <f>5*O88/1000/2.5*D34</f>
        <v>3050.8298141147102</v>
      </c>
      <c r="E35" s="1" t="s">
        <v>158</v>
      </c>
      <c r="F35" s="1"/>
      <c r="G35" s="13" t="s">
        <v>9</v>
      </c>
      <c r="H35" s="1"/>
      <c r="I35" s="27"/>
      <c r="J35" s="27"/>
      <c r="K35" s="27"/>
      <c r="L35" s="27"/>
      <c r="M35" s="27"/>
      <c r="N35" s="27"/>
      <c r="O35" s="27"/>
      <c r="P35" s="27"/>
      <c r="Q35" s="27"/>
      <c r="R35" s="27"/>
      <c r="S35" s="27"/>
      <c r="T35" s="27"/>
      <c r="U35" s="27"/>
      <c r="V35" s="27"/>
      <c r="W35" s="27"/>
      <c r="X35" s="27"/>
      <c r="Y35" s="27"/>
      <c r="Z35" s="27"/>
      <c r="AA35" s="1"/>
      <c r="AB35" s="1"/>
      <c r="AC35" s="1"/>
      <c r="AD35" s="1"/>
      <c r="AE35" s="1"/>
      <c r="AF35" s="1"/>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pans="1:74" x14ac:dyDescent="0.2">
      <c r="A36" s="13"/>
      <c r="C36" s="27"/>
      <c r="D36" s="27"/>
      <c r="E36" s="19"/>
      <c r="F36" s="1"/>
      <c r="G36" s="1"/>
      <c r="H36" s="1"/>
      <c r="I36" s="27"/>
      <c r="J36" s="19"/>
      <c r="K36" s="19"/>
      <c r="L36" s="27"/>
      <c r="M36" s="27"/>
      <c r="N36" s="27"/>
      <c r="O36" s="27"/>
      <c r="P36" s="27"/>
      <c r="Q36" s="27"/>
      <c r="R36" s="27"/>
      <c r="S36" s="27"/>
      <c r="T36" s="1"/>
      <c r="U36" s="27"/>
      <c r="V36" s="27"/>
      <c r="W36" s="19"/>
      <c r="X36" s="19"/>
      <c r="Y36" s="19"/>
      <c r="Z36" s="19"/>
      <c r="AA36" s="19"/>
      <c r="AB36" s="19"/>
      <c r="AC36" s="19"/>
      <c r="AD36" s="19"/>
      <c r="AE36" s="1"/>
      <c r="AF36" s="1"/>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pans="1:74" ht="21" x14ac:dyDescent="0.25">
      <c r="A37" s="13"/>
      <c r="B37" s="1"/>
      <c r="C37" s="1"/>
      <c r="D37" s="75"/>
      <c r="E37" s="1"/>
      <c r="F37" s="1"/>
      <c r="G37" s="1"/>
      <c r="H37" s="1"/>
      <c r="I37" s="27"/>
      <c r="J37" s="19"/>
      <c r="K37" s="19"/>
      <c r="L37" s="27"/>
      <c r="M37" s="27"/>
      <c r="N37" s="27"/>
      <c r="O37" s="31" t="s">
        <v>548</v>
      </c>
      <c r="P37" s="31"/>
      <c r="Q37" s="27"/>
      <c r="R37" s="27"/>
      <c r="S37" s="27"/>
      <c r="T37" s="19"/>
      <c r="U37" s="31" t="s">
        <v>598</v>
      </c>
      <c r="V37" s="27"/>
      <c r="W37" s="27"/>
      <c r="X37" s="27"/>
      <c r="Y37" s="27"/>
      <c r="Z37" s="19"/>
      <c r="AA37" s="19"/>
      <c r="AB37" s="19"/>
      <c r="AC37" s="19"/>
      <c r="AD37" s="19"/>
      <c r="AE37" s="15" t="s">
        <v>591</v>
      </c>
      <c r="AF37" s="1"/>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pans="1:74" ht="17" thickBot="1" x14ac:dyDescent="0.25">
      <c r="A38" s="13"/>
      <c r="B38" s="1"/>
      <c r="C38" s="1"/>
      <c r="D38" s="1"/>
      <c r="E38" s="1"/>
      <c r="F38" s="1"/>
      <c r="G38" s="1"/>
      <c r="H38" s="1"/>
      <c r="I38" s="27"/>
      <c r="J38" s="19"/>
      <c r="K38" s="19"/>
      <c r="L38" s="27"/>
      <c r="M38" s="27"/>
      <c r="N38" s="27"/>
      <c r="O38" s="27"/>
      <c r="P38" s="27"/>
      <c r="Q38" s="27"/>
      <c r="R38" s="27"/>
      <c r="S38" s="27"/>
      <c r="T38" s="19"/>
      <c r="U38" s="27"/>
      <c r="V38" s="27"/>
      <c r="W38" s="27"/>
      <c r="X38" s="27"/>
      <c r="Y38" s="27"/>
      <c r="Z38" s="19"/>
      <c r="AA38" s="19"/>
      <c r="AB38" s="19"/>
      <c r="AC38" s="19"/>
      <c r="AD38" s="19"/>
      <c r="AE38" s="1"/>
      <c r="AF38" s="1"/>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pans="1:74" ht="19" x14ac:dyDescent="0.25">
      <c r="A39" s="13"/>
      <c r="B39" s="1"/>
      <c r="C39" s="1"/>
      <c r="D39" s="1"/>
      <c r="E39" s="75" t="s">
        <v>572</v>
      </c>
      <c r="F39" s="1"/>
      <c r="G39" s="1"/>
      <c r="H39" s="1"/>
      <c r="I39" s="27"/>
      <c r="J39" s="19"/>
      <c r="K39" s="19"/>
      <c r="L39" s="32"/>
      <c r="M39" s="33"/>
      <c r="N39" s="33"/>
      <c r="O39" s="33"/>
      <c r="P39" s="33"/>
      <c r="Q39" s="33"/>
      <c r="R39" s="34"/>
      <c r="S39" s="27"/>
      <c r="T39" s="128"/>
      <c r="U39" s="129"/>
      <c r="V39" s="129"/>
      <c r="W39" s="129"/>
      <c r="X39" s="129"/>
      <c r="Y39" s="129"/>
      <c r="Z39" s="129"/>
      <c r="AA39" s="130"/>
      <c r="AB39" s="131"/>
      <c r="AC39" s="19"/>
      <c r="AD39" s="76"/>
      <c r="AE39" s="4"/>
      <c r="AF39" s="4"/>
      <c r="AG39" s="4"/>
      <c r="AH39" s="4"/>
      <c r="AI39" s="4"/>
      <c r="AJ39" s="4"/>
      <c r="AK39" s="4"/>
      <c r="AL39" s="8"/>
      <c r="AM39" s="1"/>
      <c r="AN39" s="1"/>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pans="1:74" x14ac:dyDescent="0.2">
      <c r="A40" s="13"/>
      <c r="B40" s="1"/>
      <c r="C40" s="27"/>
      <c r="D40" s="27"/>
      <c r="E40" s="27"/>
      <c r="F40" s="27"/>
      <c r="G40" s="27"/>
      <c r="H40" s="27"/>
      <c r="I40" s="27"/>
      <c r="J40" s="19"/>
      <c r="K40" s="19"/>
      <c r="L40" s="36"/>
      <c r="M40" s="29" t="s">
        <v>28</v>
      </c>
      <c r="N40" s="29"/>
      <c r="O40" s="27">
        <f>G22*G23</f>
        <v>140.03447423470215</v>
      </c>
      <c r="P40" s="27"/>
      <c r="Q40" s="1" t="s">
        <v>158</v>
      </c>
      <c r="R40" s="37" t="s">
        <v>578</v>
      </c>
      <c r="S40" s="27"/>
      <c r="T40" s="132"/>
      <c r="U40" s="1" t="s">
        <v>496</v>
      </c>
      <c r="V40" s="1"/>
      <c r="W40" s="12">
        <v>80</v>
      </c>
      <c r="X40" s="1"/>
      <c r="Y40" s="1" t="s">
        <v>497</v>
      </c>
      <c r="Z40" s="61" t="s">
        <v>507</v>
      </c>
      <c r="AA40" s="61"/>
      <c r="AB40" s="133"/>
      <c r="AC40" s="19"/>
      <c r="AD40" s="77"/>
      <c r="AE40" s="1" t="s">
        <v>271</v>
      </c>
      <c r="AF40" s="1"/>
      <c r="AG40" s="27">
        <f>E79</f>
        <v>757.8741366218145</v>
      </c>
      <c r="AH40" s="27"/>
      <c r="AI40" s="1" t="s">
        <v>158</v>
      </c>
      <c r="AJ40" s="1"/>
      <c r="AK40" s="1"/>
      <c r="AL40" s="8"/>
      <c r="AM40" s="1"/>
      <c r="AN40" s="1"/>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pans="1:74" x14ac:dyDescent="0.2">
      <c r="A41" s="13"/>
      <c r="C41" s="3"/>
      <c r="D41" s="4"/>
      <c r="E41" s="4"/>
      <c r="F41" s="4"/>
      <c r="G41" s="4"/>
      <c r="H41" s="4"/>
      <c r="I41" s="5"/>
      <c r="J41" s="19"/>
      <c r="K41" s="19"/>
      <c r="L41" s="36"/>
      <c r="M41" s="27"/>
      <c r="N41" s="27"/>
      <c r="O41" s="27">
        <f>K22*K23+O8*O9+L30*L31</f>
        <v>681.97311725536144</v>
      </c>
      <c r="P41" s="27"/>
      <c r="Q41" s="1" t="s">
        <v>158</v>
      </c>
      <c r="R41" s="37" t="s">
        <v>579</v>
      </c>
      <c r="S41" s="27"/>
      <c r="T41" s="132"/>
      <c r="U41" s="1" t="s">
        <v>637</v>
      </c>
      <c r="V41" s="1"/>
      <c r="W41" s="12">
        <v>0</v>
      </c>
      <c r="X41" s="22"/>
      <c r="Y41" s="22" t="s">
        <v>187</v>
      </c>
      <c r="Z41" s="1"/>
      <c r="AA41" s="61"/>
      <c r="AB41" s="133"/>
      <c r="AC41" s="19"/>
      <c r="AD41" s="77"/>
      <c r="AE41" s="1" t="s">
        <v>178</v>
      </c>
      <c r="AF41" s="1"/>
      <c r="AG41" s="27">
        <f>Tata_gases!C99*O8*20</f>
        <v>1081.6901616993227</v>
      </c>
      <c r="AH41" s="27"/>
      <c r="AI41" s="1" t="s">
        <v>158</v>
      </c>
      <c r="AJ41" s="1" t="s">
        <v>278</v>
      </c>
      <c r="AK41" s="1"/>
      <c r="AL41" s="8"/>
      <c r="AM41" s="1"/>
      <c r="AN41" s="1"/>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pans="1:74" x14ac:dyDescent="0.2">
      <c r="A42" s="13"/>
      <c r="C42" s="8"/>
      <c r="D42" s="2" t="s">
        <v>584</v>
      </c>
      <c r="E42" s="1"/>
      <c r="F42" s="22" t="s">
        <v>612</v>
      </c>
      <c r="G42" s="1"/>
      <c r="H42" s="1"/>
      <c r="I42" s="7"/>
      <c r="J42" s="19"/>
      <c r="K42" s="19"/>
      <c r="L42" s="36"/>
      <c r="M42" s="27"/>
      <c r="N42" s="27"/>
      <c r="O42" s="27">
        <f>I18*AR19</f>
        <v>1985.8338084249099</v>
      </c>
      <c r="P42" s="27"/>
      <c r="Q42" s="1" t="s">
        <v>158</v>
      </c>
      <c r="R42" s="37" t="s">
        <v>580</v>
      </c>
      <c r="S42" s="27"/>
      <c r="T42" s="136"/>
      <c r="U42" s="1" t="s">
        <v>638</v>
      </c>
      <c r="V42" s="1"/>
      <c r="W42" s="27">
        <f>W40+159*0.82*42*0.0755/1000*W41*1.18</f>
        <v>80</v>
      </c>
      <c r="X42" s="1"/>
      <c r="Y42" s="1" t="s">
        <v>497</v>
      </c>
      <c r="Z42" s="1"/>
      <c r="AA42" s="1"/>
      <c r="AB42" s="135"/>
      <c r="AC42" s="19"/>
      <c r="AD42" s="77"/>
      <c r="AE42" s="61" t="s">
        <v>195</v>
      </c>
      <c r="AF42" s="61"/>
      <c r="AG42" s="27">
        <f>E95/0.18*C22</f>
        <v>0</v>
      </c>
      <c r="AH42" s="27"/>
      <c r="AI42" s="1" t="s">
        <v>158</v>
      </c>
      <c r="AJ42" s="1"/>
      <c r="AK42" s="1"/>
      <c r="AL42" s="8"/>
      <c r="AM42" s="1"/>
      <c r="AN42" s="1"/>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pans="1:74" x14ac:dyDescent="0.2">
      <c r="A43" s="13"/>
      <c r="C43" s="8"/>
      <c r="D43" s="22"/>
      <c r="E43" s="1"/>
      <c r="F43" s="1"/>
      <c r="G43" s="1"/>
      <c r="H43" s="1"/>
      <c r="I43" s="7"/>
      <c r="J43" s="19"/>
      <c r="K43" s="19"/>
      <c r="L43" s="36"/>
      <c r="M43" s="27"/>
      <c r="N43" s="27"/>
      <c r="O43" s="35">
        <f>L14</f>
        <v>22.642855523755902</v>
      </c>
      <c r="P43" s="29"/>
      <c r="Q43" s="1" t="s">
        <v>158</v>
      </c>
      <c r="R43" s="37" t="s">
        <v>500</v>
      </c>
      <c r="S43" s="27"/>
      <c r="T43" s="132"/>
      <c r="U43" s="27" t="s">
        <v>506</v>
      </c>
      <c r="V43" s="1"/>
      <c r="W43" s="12">
        <v>5.2999999999999999E-2</v>
      </c>
      <c r="X43" s="1"/>
      <c r="Y43" s="1" t="s">
        <v>508</v>
      </c>
      <c r="Z43" s="61" t="s">
        <v>509</v>
      </c>
      <c r="AA43" s="61"/>
      <c r="AB43" s="133"/>
      <c r="AC43" s="19"/>
      <c r="AD43" s="77"/>
      <c r="AE43" s="89" t="s">
        <v>4</v>
      </c>
      <c r="AF43" s="61"/>
      <c r="AG43" s="27">
        <f>O89</f>
        <v>3451.2512272172653</v>
      </c>
      <c r="AH43" s="27"/>
      <c r="AI43" s="1" t="s">
        <v>158</v>
      </c>
      <c r="AJ43" s="1"/>
      <c r="AK43" s="1"/>
      <c r="AL43" s="8"/>
      <c r="AM43" s="1"/>
      <c r="AN43" s="1"/>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pans="1:74" x14ac:dyDescent="0.2">
      <c r="A44" s="13"/>
      <c r="C44" s="8"/>
      <c r="D44" s="1"/>
      <c r="E44" s="1" t="s">
        <v>203</v>
      </c>
      <c r="F44" s="1"/>
      <c r="G44" s="1" t="s">
        <v>204</v>
      </c>
      <c r="H44" s="1"/>
      <c r="I44" s="7"/>
      <c r="J44" s="19"/>
      <c r="K44" s="19"/>
      <c r="L44" s="36"/>
      <c r="M44" s="27"/>
      <c r="N44" s="27"/>
      <c r="O44" s="27">
        <f>S27*S28</f>
        <v>235.1499047782236</v>
      </c>
      <c r="P44" s="27"/>
      <c r="Q44" s="1" t="s">
        <v>158</v>
      </c>
      <c r="R44" s="37" t="s">
        <v>2</v>
      </c>
      <c r="S44" s="27"/>
      <c r="T44" s="132"/>
      <c r="U44" s="27" t="s">
        <v>214</v>
      </c>
      <c r="V44" s="27"/>
      <c r="W44" s="27">
        <f>(W42)/159/1.18+W43</f>
        <v>0.47939377465089011</v>
      </c>
      <c r="X44" s="27"/>
      <c r="Y44" s="27" t="s">
        <v>255</v>
      </c>
      <c r="Z44" s="1"/>
      <c r="AA44" s="61"/>
      <c r="AB44" s="133"/>
      <c r="AC44" s="19"/>
      <c r="AD44" s="77"/>
      <c r="AE44" s="61" t="s">
        <v>85</v>
      </c>
      <c r="AF44" s="61"/>
      <c r="AG44" s="27">
        <f>IF(B8=1,W96,0)</f>
        <v>741.98548231926895</v>
      </c>
      <c r="AH44" s="27"/>
      <c r="AI44" s="1" t="s">
        <v>158</v>
      </c>
      <c r="AJ44" s="1"/>
      <c r="AK44" s="1"/>
      <c r="AL44" s="8"/>
      <c r="AM44" s="1"/>
      <c r="AN44" s="1"/>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pans="1:74" x14ac:dyDescent="0.2">
      <c r="A45" s="13"/>
      <c r="C45" s="8"/>
      <c r="D45" s="1" t="s">
        <v>202</v>
      </c>
      <c r="E45" s="12">
        <v>0</v>
      </c>
      <c r="F45" s="12"/>
      <c r="G45" s="12">
        <v>0.01</v>
      </c>
      <c r="H45" s="1"/>
      <c r="I45" s="20" t="s">
        <v>207</v>
      </c>
      <c r="J45" s="19"/>
      <c r="K45" s="19"/>
      <c r="L45" s="36"/>
      <c r="M45" s="27"/>
      <c r="N45" s="27"/>
      <c r="O45" s="43">
        <f>W16*W17+R12*R13</f>
        <v>0</v>
      </c>
      <c r="P45" s="43"/>
      <c r="Q45" s="1" t="s">
        <v>158</v>
      </c>
      <c r="R45" s="37" t="s">
        <v>116</v>
      </c>
      <c r="S45" s="27"/>
      <c r="T45" s="132"/>
      <c r="U45" s="1" t="s">
        <v>31</v>
      </c>
      <c r="V45" s="1"/>
      <c r="W45" s="42">
        <f>AR25</f>
        <v>26.236641007697692</v>
      </c>
      <c r="X45" s="1"/>
      <c r="Y45" s="27" t="s">
        <v>186</v>
      </c>
      <c r="Z45" s="1" t="s">
        <v>418</v>
      </c>
      <c r="AA45" s="1"/>
      <c r="AB45" s="133"/>
      <c r="AC45" s="19"/>
      <c r="AD45" s="77"/>
      <c r="AE45" s="61" t="s">
        <v>87</v>
      </c>
      <c r="AF45" s="61"/>
      <c r="AG45" s="27">
        <f>IF(B7=1,W124,0)</f>
        <v>0</v>
      </c>
      <c r="AH45" s="27"/>
      <c r="AI45" s="1" t="s">
        <v>158</v>
      </c>
      <c r="AJ45" s="1"/>
      <c r="AK45" s="1"/>
      <c r="AL45" s="8"/>
      <c r="AM45" s="1"/>
      <c r="AN45" s="1"/>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pans="1:74" x14ac:dyDescent="0.2">
      <c r="A46" s="13"/>
      <c r="C46" s="8"/>
      <c r="D46" s="1" t="s">
        <v>6</v>
      </c>
      <c r="E46" s="12">
        <v>1</v>
      </c>
      <c r="F46" s="12"/>
      <c r="G46" s="12">
        <v>0.04</v>
      </c>
      <c r="H46" s="1"/>
      <c r="I46" s="20" t="s">
        <v>207</v>
      </c>
      <c r="J46" s="19"/>
      <c r="K46" s="19"/>
      <c r="L46" s="36"/>
      <c r="M46" s="27"/>
      <c r="N46" s="27"/>
      <c r="O46" s="29">
        <f>SUM(O40:O45)</f>
        <v>3065.6341602169528</v>
      </c>
      <c r="P46" s="29"/>
      <c r="Q46" s="1" t="s">
        <v>158</v>
      </c>
      <c r="R46" s="37" t="s">
        <v>52</v>
      </c>
      <c r="S46" s="27"/>
      <c r="T46" s="132"/>
      <c r="U46" s="1"/>
      <c r="V46" s="1"/>
      <c r="W46" s="1"/>
      <c r="X46" s="1"/>
      <c r="Y46" s="1"/>
      <c r="Z46" s="1"/>
      <c r="AA46" s="1"/>
      <c r="AB46" s="134"/>
      <c r="AC46" s="19"/>
      <c r="AD46" s="77"/>
      <c r="AE46" s="61" t="s">
        <v>2</v>
      </c>
      <c r="AF46" s="61"/>
      <c r="AG46" s="27">
        <f>AE88/1.18*1000</f>
        <v>1981.9052067775265</v>
      </c>
      <c r="AH46" s="27"/>
      <c r="AI46" s="1" t="s">
        <v>158</v>
      </c>
      <c r="AJ46" s="1"/>
      <c r="AK46" s="1"/>
      <c r="AL46" s="8"/>
      <c r="AM46" s="1"/>
      <c r="AN46" s="1"/>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pans="1:74" x14ac:dyDescent="0.2">
      <c r="A47" s="13"/>
      <c r="C47" s="8"/>
      <c r="D47" s="1"/>
      <c r="E47" s="1"/>
      <c r="F47" s="1"/>
      <c r="G47" s="1"/>
      <c r="H47" s="1"/>
      <c r="I47" s="7"/>
      <c r="J47" s="19"/>
      <c r="K47" s="19"/>
      <c r="L47" s="36"/>
      <c r="M47" s="27"/>
      <c r="N47" s="27"/>
      <c r="O47" s="27"/>
      <c r="P47" s="27"/>
      <c r="Q47" s="27"/>
      <c r="R47" s="37"/>
      <c r="S47" s="27"/>
      <c r="T47" s="132"/>
      <c r="U47" s="2" t="s">
        <v>3</v>
      </c>
      <c r="V47" s="1"/>
      <c r="W47" s="1"/>
      <c r="X47" s="1"/>
      <c r="Y47" s="1"/>
      <c r="Z47" s="1"/>
      <c r="AA47" s="61"/>
      <c r="AB47" s="134"/>
      <c r="AC47" s="19"/>
      <c r="AD47" s="77"/>
      <c r="AE47" s="61" t="s">
        <v>120</v>
      </c>
      <c r="AF47" s="61"/>
      <c r="AG47" s="27">
        <f>IF(B5=1,AN84,0)</f>
        <v>0</v>
      </c>
      <c r="AH47" s="27"/>
      <c r="AI47" s="1" t="s">
        <v>158</v>
      </c>
      <c r="AJ47" s="1"/>
      <c r="AK47" s="1"/>
      <c r="AL47" s="8"/>
      <c r="AM47" s="1"/>
      <c r="AN47" s="1"/>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pans="1:74" x14ac:dyDescent="0.2">
      <c r="A48" s="13"/>
      <c r="C48" s="8"/>
      <c r="D48" s="2" t="s">
        <v>7</v>
      </c>
      <c r="E48" s="1">
        <f>E45*G45+E46*G46</f>
        <v>0.04</v>
      </c>
      <c r="F48" s="1"/>
      <c r="G48" s="1" t="s">
        <v>207</v>
      </c>
      <c r="H48" s="1"/>
      <c r="I48" s="7"/>
      <c r="J48" s="19"/>
      <c r="K48" s="19"/>
      <c r="L48" s="36"/>
      <c r="M48" s="29" t="s">
        <v>577</v>
      </c>
      <c r="N48" s="29"/>
      <c r="O48" s="113">
        <f>IF(B30=1,1.2,1)*W44/0.832*1000</f>
        <v>691.43332882339928</v>
      </c>
      <c r="P48" s="27"/>
      <c r="Q48" s="27" t="s">
        <v>186</v>
      </c>
      <c r="R48" s="37" t="s">
        <v>25</v>
      </c>
      <c r="S48" s="27"/>
      <c r="T48" s="132"/>
      <c r="U48" s="35" t="s">
        <v>215</v>
      </c>
      <c r="V48" s="27"/>
      <c r="W48" s="35">
        <f>W44</f>
        <v>0.47939377465089011</v>
      </c>
      <c r="X48" s="35"/>
      <c r="Y48" s="35" t="s">
        <v>614</v>
      </c>
      <c r="Z48" s="1" t="s">
        <v>615</v>
      </c>
      <c r="AA48" s="27"/>
      <c r="AB48" s="134"/>
      <c r="AC48" s="19"/>
      <c r="AD48" s="77"/>
      <c r="AE48" s="61" t="s">
        <v>129</v>
      </c>
      <c r="AF48" s="61"/>
      <c r="AG48" s="27">
        <f>IF(B5=1,W16*W17*15*0.5,0)</f>
        <v>0</v>
      </c>
      <c r="AH48" s="27"/>
      <c r="AI48" s="1" t="s">
        <v>158</v>
      </c>
      <c r="AJ48" s="1"/>
      <c r="AK48" s="1"/>
      <c r="AL48" s="8"/>
      <c r="AM48" s="1"/>
      <c r="AN48" s="1"/>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pans="1:74" x14ac:dyDescent="0.2">
      <c r="A49" s="13"/>
      <c r="C49" s="9"/>
      <c r="D49" s="10"/>
      <c r="E49" s="10"/>
      <c r="F49" s="10"/>
      <c r="G49" s="10"/>
      <c r="H49" s="10"/>
      <c r="I49" s="11"/>
      <c r="J49" s="19"/>
      <c r="K49" s="19"/>
      <c r="L49" s="36"/>
      <c r="M49" s="27"/>
      <c r="N49" s="27"/>
      <c r="O49" s="42">
        <f>IF(B31=1,AR25,0)</f>
        <v>0</v>
      </c>
      <c r="P49" s="27"/>
      <c r="Q49" s="27" t="s">
        <v>186</v>
      </c>
      <c r="R49" s="37" t="s">
        <v>31</v>
      </c>
      <c r="S49" s="27"/>
      <c r="T49" s="132"/>
      <c r="U49" s="1"/>
      <c r="V49" s="27"/>
      <c r="W49" s="35">
        <f>W48*159*1.18</f>
        <v>89.943859999999987</v>
      </c>
      <c r="X49" s="22"/>
      <c r="Y49" s="143" t="s">
        <v>616</v>
      </c>
      <c r="Z49" s="27" t="s">
        <v>617</v>
      </c>
      <c r="AA49" s="27"/>
      <c r="AB49" s="134"/>
      <c r="AC49" s="19"/>
      <c r="AD49" s="77"/>
      <c r="AE49" s="89"/>
      <c r="AF49" s="61"/>
      <c r="AG49" s="27"/>
      <c r="AH49" s="27"/>
      <c r="AI49" s="1"/>
      <c r="AJ49" s="1"/>
      <c r="AK49" s="1"/>
      <c r="AL49" s="8"/>
      <c r="AM49" s="1"/>
      <c r="AN49" s="1"/>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pans="1:74" x14ac:dyDescent="0.2">
      <c r="A50" s="13"/>
      <c r="C50" s="3"/>
      <c r="D50" s="4"/>
      <c r="E50" s="4"/>
      <c r="F50" s="4"/>
      <c r="G50" s="4"/>
      <c r="H50" s="4"/>
      <c r="I50" s="5"/>
      <c r="J50" s="19"/>
      <c r="K50" s="19"/>
      <c r="L50" s="36"/>
      <c r="M50" s="27"/>
      <c r="N50" s="27"/>
      <c r="O50" s="42">
        <f>W53</f>
        <v>1291.1504956781225</v>
      </c>
      <c r="P50" s="27"/>
      <c r="Q50" s="27" t="s">
        <v>186</v>
      </c>
      <c r="R50" s="37" t="s">
        <v>3</v>
      </c>
      <c r="S50" s="27"/>
      <c r="T50" s="132"/>
      <c r="U50" s="1"/>
      <c r="V50" s="1"/>
      <c r="W50" s="29">
        <f>W48/AR27*1000</f>
        <v>596.26091374488817</v>
      </c>
      <c r="X50" s="22"/>
      <c r="Y50" s="22" t="s">
        <v>620</v>
      </c>
      <c r="Z50" s="27" t="s">
        <v>617</v>
      </c>
      <c r="AA50" s="27"/>
      <c r="AB50" s="134"/>
      <c r="AC50" s="19"/>
      <c r="AD50" s="77"/>
      <c r="AE50" s="61" t="s">
        <v>52</v>
      </c>
      <c r="AF50" s="61"/>
      <c r="AG50" s="29">
        <f>SUM(AG40:AG48)/1000</f>
        <v>8.0147062146351988</v>
      </c>
      <c r="AH50" s="29"/>
      <c r="AI50" s="1" t="s">
        <v>272</v>
      </c>
      <c r="AJ50" s="61" t="s">
        <v>277</v>
      </c>
      <c r="AK50" s="1"/>
      <c r="AL50" s="8"/>
      <c r="AM50" s="1"/>
      <c r="AN50" s="1"/>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pans="1:74" x14ac:dyDescent="0.2">
      <c r="A51" s="13"/>
      <c r="C51" s="8"/>
      <c r="D51" s="2" t="s">
        <v>100</v>
      </c>
      <c r="E51" s="64">
        <v>17.46</v>
      </c>
      <c r="F51" s="1"/>
      <c r="G51" s="1" t="s">
        <v>206</v>
      </c>
      <c r="H51" s="1"/>
      <c r="I51" s="7" t="s">
        <v>101</v>
      </c>
      <c r="J51" s="19"/>
      <c r="K51" s="19"/>
      <c r="L51" s="36"/>
      <c r="M51" s="27"/>
      <c r="N51" s="27"/>
      <c r="O51" s="27">
        <f>O48*W29</f>
        <v>779.18468436785884</v>
      </c>
      <c r="P51" s="27"/>
      <c r="Q51" s="1" t="s">
        <v>158</v>
      </c>
      <c r="R51" s="37" t="s">
        <v>25</v>
      </c>
      <c r="S51" s="27"/>
      <c r="T51" s="132"/>
      <c r="U51" s="35" t="s">
        <v>213</v>
      </c>
      <c r="V51" s="35"/>
      <c r="W51" s="35">
        <f>O50*AR27/1000</f>
        <v>1.0380849985252105</v>
      </c>
      <c r="X51" s="35"/>
      <c r="Y51" s="35" t="s">
        <v>508</v>
      </c>
      <c r="Z51" s="22" t="s">
        <v>618</v>
      </c>
      <c r="AA51" s="27"/>
      <c r="AB51" s="134"/>
      <c r="AC51" s="19"/>
      <c r="AD51" s="77"/>
      <c r="AE51" s="61"/>
      <c r="AF51" s="61"/>
      <c r="AG51" s="13"/>
      <c r="AH51" s="13"/>
      <c r="AI51" s="1"/>
      <c r="AJ51" s="1" t="s">
        <v>276</v>
      </c>
      <c r="AK51" s="1"/>
      <c r="AL51" s="8"/>
      <c r="AM51" s="1"/>
      <c r="AN51" s="1"/>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pans="1:74" x14ac:dyDescent="0.2">
      <c r="A52" s="13"/>
      <c r="C52" s="8"/>
      <c r="D52" s="1"/>
      <c r="E52" s="4">
        <f>Process!E51/3600</f>
        <v>4.8500000000000001E-3</v>
      </c>
      <c r="F52" s="1"/>
      <c r="G52" s="1" t="s">
        <v>205</v>
      </c>
      <c r="H52" s="1"/>
      <c r="I52" s="7"/>
      <c r="J52" s="19"/>
      <c r="K52" s="19"/>
      <c r="L52" s="36"/>
      <c r="M52" s="27"/>
      <c r="N52" s="27"/>
      <c r="O52" s="27">
        <f>O49*AR22</f>
        <v>0</v>
      </c>
      <c r="P52" s="27"/>
      <c r="Q52" s="1" t="s">
        <v>158</v>
      </c>
      <c r="R52" s="37" t="s">
        <v>31</v>
      </c>
      <c r="S52" s="27"/>
      <c r="T52" s="132"/>
      <c r="U52" s="22"/>
      <c r="V52" s="22"/>
      <c r="W52" s="35">
        <f>W51*159*1.18</f>
        <v>194.76550742329997</v>
      </c>
      <c r="X52" s="22"/>
      <c r="Y52" s="35" t="s">
        <v>497</v>
      </c>
      <c r="Z52" s="35"/>
      <c r="AA52" s="27"/>
      <c r="AB52" s="134"/>
      <c r="AC52" s="13"/>
      <c r="AD52" s="77"/>
      <c r="AE52" s="61" t="s">
        <v>419</v>
      </c>
      <c r="AF52" s="61"/>
      <c r="AG52" s="27">
        <f>FV(0.05,10,0,-AG50)</f>
        <v>13.055111888219043</v>
      </c>
      <c r="AH52" s="27"/>
      <c r="AI52" s="1" t="s">
        <v>272</v>
      </c>
      <c r="AJ52" s="1" t="s">
        <v>521</v>
      </c>
      <c r="AK52" s="1"/>
      <c r="AL52" s="8"/>
      <c r="AM52" s="1"/>
      <c r="AN52" s="1"/>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pans="1:74" x14ac:dyDescent="0.2">
      <c r="A53" s="13"/>
      <c r="C53" s="9"/>
      <c r="D53" s="10"/>
      <c r="E53" s="10"/>
      <c r="F53" s="10"/>
      <c r="G53" s="10"/>
      <c r="H53" s="10"/>
      <c r="I53" s="11"/>
      <c r="J53" s="19"/>
      <c r="K53" s="19"/>
      <c r="L53" s="36"/>
      <c r="M53" s="13"/>
      <c r="N53" s="27"/>
      <c r="O53" s="27">
        <f>O50*W23</f>
        <v>2286.4494758490937</v>
      </c>
      <c r="P53" s="27"/>
      <c r="Q53" s="1" t="s">
        <v>158</v>
      </c>
      <c r="R53" s="37" t="s">
        <v>3</v>
      </c>
      <c r="S53" s="27"/>
      <c r="T53" s="132"/>
      <c r="U53" s="1"/>
      <c r="V53" s="1"/>
      <c r="W53" s="35">
        <f>(O46-O51-O52-O54-O55)/W23</f>
        <v>1291.1504956781225</v>
      </c>
      <c r="X53" s="22"/>
      <c r="Y53" s="35" t="s">
        <v>620</v>
      </c>
      <c r="Z53" s="27" t="s">
        <v>619</v>
      </c>
      <c r="AA53" s="27"/>
      <c r="AB53" s="135"/>
      <c r="AC53" s="13"/>
      <c r="AD53" s="77"/>
      <c r="AE53" s="13"/>
      <c r="AF53" s="13"/>
      <c r="AG53" s="13"/>
      <c r="AH53" s="13"/>
      <c r="AI53" s="13"/>
      <c r="AJ53" s="1"/>
      <c r="AK53" s="1"/>
      <c r="AL53" s="8"/>
      <c r="AM53" s="1"/>
      <c r="AN53" s="1"/>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pans="1:74" x14ac:dyDescent="0.2">
      <c r="A54" s="13"/>
      <c r="C54" s="1"/>
      <c r="D54" s="1"/>
      <c r="E54" s="27"/>
      <c r="F54" s="27"/>
      <c r="G54" s="19"/>
      <c r="H54" s="19"/>
      <c r="I54" s="27"/>
      <c r="J54" s="19"/>
      <c r="K54" s="19"/>
      <c r="L54" s="36"/>
      <c r="M54" s="27"/>
      <c r="N54" s="27"/>
      <c r="O54" s="27">
        <f>IF(B32=1,(E12+O8*AR8/AR7)*CO2_Storage_Costs!D45,0)</f>
        <v>0</v>
      </c>
      <c r="P54" s="27"/>
      <c r="Q54" s="27" t="s">
        <v>158</v>
      </c>
      <c r="R54" s="37" t="s">
        <v>581</v>
      </c>
      <c r="S54" s="27"/>
      <c r="T54" s="136"/>
      <c r="U54" s="27" t="s">
        <v>613</v>
      </c>
      <c r="V54" s="27"/>
      <c r="W54" s="29">
        <f>O50/W50</f>
        <v>2.1654119294335379</v>
      </c>
      <c r="X54" s="22"/>
      <c r="Y54" s="22"/>
      <c r="Z54" s="27"/>
      <c r="AA54" s="27"/>
      <c r="AB54" s="135"/>
      <c r="AC54" s="19"/>
      <c r="AD54" s="77"/>
      <c r="AE54" s="61" t="s">
        <v>273</v>
      </c>
      <c r="AF54" s="61"/>
      <c r="AG54" s="27">
        <f>W23</f>
        <v>1.7708620981849466</v>
      </c>
      <c r="AH54" s="27"/>
      <c r="AI54" s="1" t="s">
        <v>274</v>
      </c>
      <c r="AJ54" s="1"/>
      <c r="AK54" s="1"/>
      <c r="AL54" s="8"/>
      <c r="AM54" s="1"/>
      <c r="AN54" s="1"/>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pans="1:74" x14ac:dyDescent="0.2">
      <c r="A55" s="13"/>
      <c r="C55" s="1"/>
      <c r="D55" s="1"/>
      <c r="E55" s="27"/>
      <c r="F55" s="27"/>
      <c r="G55" s="19"/>
      <c r="H55" s="19"/>
      <c r="I55" s="27"/>
      <c r="J55" s="19"/>
      <c r="K55" s="19"/>
      <c r="L55" s="36"/>
      <c r="M55" s="27"/>
      <c r="N55" s="27"/>
      <c r="O55" s="27">
        <f>IF(B33=1,D35/40,0)</f>
        <v>0</v>
      </c>
      <c r="P55" s="27"/>
      <c r="Q55" s="27" t="s">
        <v>158</v>
      </c>
      <c r="R55" s="37" t="s">
        <v>582</v>
      </c>
      <c r="S55" s="27"/>
      <c r="T55" s="132"/>
      <c r="U55" s="1"/>
      <c r="V55" s="1"/>
      <c r="W55" s="22"/>
      <c r="X55" s="22"/>
      <c r="Y55" s="22"/>
      <c r="Z55" s="1"/>
      <c r="AA55" s="1"/>
      <c r="AB55" s="135"/>
      <c r="AC55" s="19"/>
      <c r="AD55" s="77"/>
      <c r="AE55" s="61"/>
      <c r="AF55" s="61"/>
      <c r="AG55" s="27">
        <f>W29</f>
        <v>1.1269122442995112</v>
      </c>
      <c r="AH55" s="27"/>
      <c r="AI55" s="1" t="s">
        <v>522</v>
      </c>
      <c r="AJ55" s="1"/>
      <c r="AK55" s="1"/>
      <c r="AL55" s="8"/>
      <c r="AM55" s="1"/>
      <c r="AN55" s="1"/>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pans="1:74" x14ac:dyDescent="0.2">
      <c r="A56" s="13"/>
      <c r="C56" s="1"/>
      <c r="D56" s="1"/>
      <c r="E56" s="27"/>
      <c r="F56" s="27"/>
      <c r="G56" s="19"/>
      <c r="H56" s="19"/>
      <c r="I56" s="27"/>
      <c r="J56" s="19"/>
      <c r="K56" s="19"/>
      <c r="L56" s="36"/>
      <c r="M56" s="27"/>
      <c r="N56" s="27"/>
      <c r="O56" s="29">
        <f>SUM(O51:O55)</f>
        <v>3065.6341602169523</v>
      </c>
      <c r="P56" s="29"/>
      <c r="Q56" s="1" t="s">
        <v>158</v>
      </c>
      <c r="R56" s="37" t="s">
        <v>52</v>
      </c>
      <c r="S56" s="27"/>
      <c r="T56" s="132"/>
      <c r="U56" s="29" t="s">
        <v>480</v>
      </c>
      <c r="V56" s="27"/>
      <c r="W56" s="35"/>
      <c r="X56" s="35"/>
      <c r="Y56" s="35"/>
      <c r="Z56" s="1"/>
      <c r="AA56" s="27"/>
      <c r="AB56" s="134"/>
      <c r="AC56" s="19"/>
      <c r="AD56" s="77"/>
      <c r="AE56" s="61"/>
      <c r="AF56" s="61"/>
      <c r="AG56" s="27"/>
      <c r="AH56" s="27"/>
      <c r="AI56" s="1"/>
      <c r="AJ56" s="1"/>
      <c r="AK56" s="1"/>
      <c r="AL56" s="8"/>
      <c r="AM56" s="1"/>
      <c r="AN56" s="1"/>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pans="1:74" x14ac:dyDescent="0.2">
      <c r="A57" s="13"/>
      <c r="B57" s="1"/>
      <c r="C57" s="1"/>
      <c r="D57" s="1"/>
      <c r="E57" s="1"/>
      <c r="F57" s="1"/>
      <c r="G57" s="1"/>
      <c r="H57" s="1"/>
      <c r="I57" s="27"/>
      <c r="J57" s="19"/>
      <c r="K57" s="19"/>
      <c r="L57" s="36"/>
      <c r="M57" s="27"/>
      <c r="N57" s="27"/>
      <c r="O57" s="29"/>
      <c r="P57" s="29"/>
      <c r="Q57" s="1"/>
      <c r="R57" s="37"/>
      <c r="S57" s="27"/>
      <c r="T57" s="132"/>
      <c r="U57" s="27" t="s">
        <v>481</v>
      </c>
      <c r="V57" s="27"/>
      <c r="W57" s="35">
        <f>(W53-W50)*W23</f>
        <v>1230.5536230691478</v>
      </c>
      <c r="X57" s="35"/>
      <c r="Y57" s="22" t="s">
        <v>158</v>
      </c>
      <c r="Z57" s="27" t="s">
        <v>570</v>
      </c>
      <c r="AA57" s="27"/>
      <c r="AB57" s="134"/>
      <c r="AC57" s="19"/>
      <c r="AD57" s="77"/>
      <c r="AE57" s="61"/>
      <c r="AF57" s="61"/>
      <c r="AG57" s="27">
        <f>AG54/AR27/159*1000</f>
        <v>13.852608797091166</v>
      </c>
      <c r="AH57" s="27"/>
      <c r="AI57" s="1" t="s">
        <v>275</v>
      </c>
      <c r="AJ57" s="1"/>
      <c r="AK57" s="1"/>
      <c r="AL57" s="8"/>
      <c r="AM57" s="1"/>
      <c r="AN57" s="1"/>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pans="1:74" x14ac:dyDescent="0.2">
      <c r="A58" s="13"/>
      <c r="B58" s="1"/>
      <c r="C58" s="1"/>
      <c r="D58" s="1"/>
      <c r="E58" s="1"/>
      <c r="F58" s="1"/>
      <c r="G58" s="1"/>
      <c r="H58" s="1"/>
      <c r="I58" s="27"/>
      <c r="J58" s="19"/>
      <c r="K58" s="19"/>
      <c r="L58" s="36"/>
      <c r="M58" s="29" t="s">
        <v>583</v>
      </c>
      <c r="N58" s="29"/>
      <c r="O58" s="29">
        <f>O56-O46</f>
        <v>0</v>
      </c>
      <c r="P58" s="29"/>
      <c r="Q58" s="1" t="s">
        <v>158</v>
      </c>
      <c r="R58" s="37"/>
      <c r="S58" s="27"/>
      <c r="T58" s="132"/>
      <c r="U58" s="27" t="s">
        <v>571</v>
      </c>
      <c r="V58" s="27"/>
      <c r="W58" s="29">
        <f>(CO2_emissions!D55+CO2_emissions!G55)-(CO2_emissions!F56+CO2_emissions!E56)</f>
        <v>10.961409484146582</v>
      </c>
      <c r="X58" s="35"/>
      <c r="Y58" s="22" t="s">
        <v>98</v>
      </c>
      <c r="Z58" s="27" t="s">
        <v>621</v>
      </c>
      <c r="AA58" s="27"/>
      <c r="AB58" s="134"/>
      <c r="AC58" s="19"/>
      <c r="AD58" s="78"/>
      <c r="AE58" s="90"/>
      <c r="AF58" s="90"/>
      <c r="AG58" s="10"/>
      <c r="AH58" s="10"/>
      <c r="AI58" s="10"/>
      <c r="AJ58" s="10"/>
      <c r="AK58" s="10"/>
      <c r="AL58" s="8"/>
      <c r="AM58" s="1"/>
      <c r="AN58" s="1"/>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pans="1:74" x14ac:dyDescent="0.2">
      <c r="A59" s="13"/>
      <c r="B59" s="1"/>
      <c r="C59" s="1"/>
      <c r="D59" s="1"/>
      <c r="E59" s="1"/>
      <c r="F59" s="1"/>
      <c r="G59" s="1"/>
      <c r="H59" s="1"/>
      <c r="I59" s="27"/>
      <c r="J59" s="19"/>
      <c r="K59" s="19"/>
      <c r="L59" s="38"/>
      <c r="M59" s="39"/>
      <c r="N59" s="39"/>
      <c r="O59" s="40"/>
      <c r="P59" s="40"/>
      <c r="Q59" s="40"/>
      <c r="R59" s="41"/>
      <c r="S59" s="27"/>
      <c r="T59" s="132"/>
      <c r="U59" s="1" t="s">
        <v>480</v>
      </c>
      <c r="V59" s="1"/>
      <c r="W59" s="29">
        <f>W57/W58</f>
        <v>112.26235319909267</v>
      </c>
      <c r="X59" s="22"/>
      <c r="Y59" s="143" t="s">
        <v>187</v>
      </c>
      <c r="Z59" s="2"/>
      <c r="AA59" s="27"/>
      <c r="AB59" s="134"/>
      <c r="AC59" s="19"/>
      <c r="AD59" s="61"/>
      <c r="AE59" s="61"/>
      <c r="AF59" s="61"/>
      <c r="AG59" s="1"/>
      <c r="AH59" s="1"/>
      <c r="AI59" s="1"/>
      <c r="AJ59" s="1"/>
      <c r="AK59" s="1"/>
      <c r="AL59" s="1"/>
      <c r="AM59" s="1"/>
      <c r="AN59" s="1"/>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pans="1:74" ht="17" thickBot="1" x14ac:dyDescent="0.25">
      <c r="A60" s="13"/>
      <c r="B60" s="1"/>
      <c r="C60" s="1"/>
      <c r="D60" s="1"/>
      <c r="E60" s="1"/>
      <c r="F60" s="1"/>
      <c r="G60" s="1"/>
      <c r="H60" s="1"/>
      <c r="I60" s="1"/>
      <c r="J60" s="27"/>
      <c r="K60" s="19"/>
      <c r="L60" s="27"/>
      <c r="M60" s="27"/>
      <c r="N60" s="27"/>
      <c r="O60" s="27"/>
      <c r="P60" s="27"/>
      <c r="Q60" s="27"/>
      <c r="R60" s="27"/>
      <c r="S60" s="27"/>
      <c r="T60" s="137"/>
      <c r="U60" s="138"/>
      <c r="V60" s="138"/>
      <c r="W60" s="138"/>
      <c r="X60" s="138"/>
      <c r="Y60" s="138"/>
      <c r="Z60" s="138"/>
      <c r="AA60" s="139"/>
      <c r="AB60" s="140"/>
      <c r="AC60" s="19"/>
      <c r="AD60" s="19"/>
      <c r="AE60" s="19"/>
      <c r="AF60" s="19"/>
      <c r="AG60" s="19"/>
      <c r="AH60" s="19"/>
      <c r="AI60" s="19"/>
      <c r="AJ60" s="19"/>
      <c r="AK60" s="19"/>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pans="1:74" ht="26" x14ac:dyDescent="0.3">
      <c r="A61" s="13"/>
      <c r="B61" s="1"/>
      <c r="C61" s="25" t="s">
        <v>549</v>
      </c>
      <c r="D61" s="1"/>
      <c r="E61" s="1"/>
      <c r="F61" s="1"/>
      <c r="G61" s="1"/>
      <c r="H61" s="1"/>
      <c r="I61" s="1"/>
      <c r="J61" s="1"/>
      <c r="K61" s="1"/>
      <c r="L61" s="1"/>
      <c r="M61" s="1"/>
      <c r="N61" s="1"/>
      <c r="O61" s="13"/>
      <c r="P61" s="1"/>
      <c r="Q61" s="27"/>
      <c r="R61" s="1"/>
      <c r="S61" s="1"/>
      <c r="T61" s="19"/>
      <c r="U61" s="13"/>
      <c r="V61" s="13"/>
      <c r="W61" s="13"/>
      <c r="X61" s="13"/>
      <c r="Y61" s="43"/>
      <c r="Z61" s="13"/>
      <c r="AA61" s="27"/>
      <c r="AB61" s="27"/>
      <c r="AC61" s="19"/>
      <c r="AD61" s="19"/>
      <c r="AE61" s="19"/>
      <c r="AF61" s="19"/>
      <c r="AG61" s="19"/>
      <c r="AH61" s="19"/>
      <c r="AI61" s="19"/>
      <c r="AJ61" s="19"/>
      <c r="AK61" s="19"/>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pans="1:74" ht="24" x14ac:dyDescent="0.3">
      <c r="A62" s="13"/>
      <c r="B62" s="1"/>
      <c r="C62" s="14"/>
      <c r="D62" s="1"/>
      <c r="E62" s="1"/>
      <c r="F62" s="1"/>
      <c r="G62" s="1"/>
      <c r="H62" s="1"/>
      <c r="I62" s="1"/>
      <c r="J62" s="1"/>
      <c r="K62" s="1"/>
      <c r="L62" s="1"/>
      <c r="M62" s="1"/>
      <c r="N62" s="1"/>
      <c r="O62" s="1"/>
      <c r="P62" s="1"/>
      <c r="Q62" s="1"/>
      <c r="R62" s="1"/>
      <c r="S62" s="1"/>
      <c r="T62" s="1"/>
      <c r="U62" s="13"/>
      <c r="V62" s="13"/>
      <c r="W62" s="13"/>
      <c r="X62" s="13"/>
      <c r="Y62" s="13"/>
      <c r="Z62" s="13"/>
      <c r="AA62" s="27"/>
      <c r="AB62" s="27"/>
      <c r="AC62" s="19"/>
      <c r="AD62" s="19"/>
      <c r="AE62" s="19"/>
      <c r="AF62" s="19"/>
      <c r="AG62" s="19"/>
      <c r="AH62" s="19"/>
      <c r="AI62" s="19"/>
      <c r="AJ62" s="19"/>
      <c r="AK62" s="19"/>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pans="1:74" ht="24" x14ac:dyDescent="0.3">
      <c r="A63" s="13"/>
      <c r="B63" s="1"/>
      <c r="C63" s="14"/>
      <c r="D63" s="1"/>
      <c r="E63" s="106" t="s">
        <v>0</v>
      </c>
      <c r="F63" s="15"/>
      <c r="G63" s="1"/>
      <c r="H63" s="1"/>
      <c r="I63" s="1"/>
      <c r="J63" s="1"/>
      <c r="K63" s="1"/>
      <c r="L63" s="1"/>
      <c r="M63" s="1"/>
      <c r="N63" s="1"/>
      <c r="O63" s="1"/>
      <c r="P63" s="1"/>
      <c r="Q63" s="107" t="s">
        <v>1</v>
      </c>
      <c r="R63" s="1"/>
      <c r="S63" s="1"/>
      <c r="T63" s="1"/>
      <c r="U63" s="1"/>
      <c r="V63" s="1"/>
      <c r="W63" s="108" t="s">
        <v>21</v>
      </c>
      <c r="X63" s="15"/>
      <c r="Y63" s="1"/>
      <c r="Z63" s="1"/>
      <c r="AA63" s="1"/>
      <c r="AB63" s="13"/>
      <c r="AC63" s="1"/>
      <c r="AD63" s="1"/>
      <c r="AE63" s="109" t="s">
        <v>2</v>
      </c>
      <c r="AF63" s="16"/>
      <c r="AG63" s="1"/>
      <c r="AH63" s="1"/>
      <c r="AI63" s="1"/>
      <c r="AJ63" s="1"/>
      <c r="AK63" s="13"/>
      <c r="AL63" s="1"/>
      <c r="AM63" s="1"/>
      <c r="AN63" s="110" t="s">
        <v>116</v>
      </c>
      <c r="AO63" s="16"/>
      <c r="AP63" s="1"/>
      <c r="AQ63" s="1"/>
      <c r="AR63" s="13"/>
      <c r="AS63" s="13"/>
      <c r="AT63" s="1"/>
      <c r="AU63" s="1"/>
      <c r="AV63" s="109" t="s">
        <v>127</v>
      </c>
      <c r="AW63" s="16"/>
      <c r="AX63" s="1"/>
      <c r="AY63" s="1"/>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pans="1:74" ht="15" customHeight="1" x14ac:dyDescent="0.3">
      <c r="A64" s="13"/>
      <c r="B64" s="1"/>
      <c r="C64" s="14"/>
      <c r="D64" s="1"/>
      <c r="E64" s="1"/>
      <c r="F64" s="15"/>
      <c r="G64" s="1"/>
      <c r="H64" s="1"/>
      <c r="I64" s="1"/>
      <c r="J64" s="1"/>
      <c r="K64" s="1"/>
      <c r="L64" s="1"/>
      <c r="M64" s="1"/>
      <c r="N64" s="1"/>
      <c r="O64" s="1"/>
      <c r="P64" s="1"/>
      <c r="Q64" s="1"/>
      <c r="R64" s="1"/>
      <c r="S64" s="1"/>
      <c r="T64" s="1"/>
      <c r="U64" s="1"/>
      <c r="V64" s="1"/>
      <c r="W64" s="1"/>
      <c r="X64" s="15"/>
      <c r="Y64" s="1"/>
      <c r="Z64" s="1"/>
      <c r="AA64" s="1"/>
      <c r="AB64" s="13"/>
      <c r="AC64" s="1"/>
      <c r="AD64" s="1"/>
      <c r="AE64" s="1"/>
      <c r="AF64" s="16"/>
      <c r="AG64" s="1"/>
      <c r="AH64" s="1"/>
      <c r="AI64" s="1"/>
      <c r="AJ64" s="1"/>
      <c r="AK64" s="13"/>
      <c r="AL64" s="1"/>
      <c r="AM64" s="1"/>
      <c r="AN64" s="1"/>
      <c r="AO64" s="16"/>
      <c r="AP64" s="1"/>
      <c r="AQ64" s="1"/>
      <c r="AR64" s="13"/>
      <c r="AS64" s="13"/>
      <c r="AT64" s="1"/>
      <c r="AU64" s="1"/>
      <c r="AV64" s="1"/>
      <c r="AW64" s="16"/>
      <c r="AX64" s="1"/>
      <c r="AY64" s="1"/>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pans="1:74" x14ac:dyDescent="0.2">
      <c r="A65" s="13"/>
      <c r="B65" s="1"/>
      <c r="C65" s="1"/>
      <c r="D65" s="1"/>
      <c r="E65" s="1"/>
      <c r="F65" s="1"/>
      <c r="G65" s="1"/>
      <c r="H65" s="1"/>
      <c r="I65" s="1"/>
      <c r="J65" s="1"/>
      <c r="K65" s="1"/>
      <c r="L65" s="1"/>
      <c r="M65" s="1"/>
      <c r="N65" s="1"/>
      <c r="O65" s="1"/>
      <c r="P65" s="1"/>
      <c r="Q65" s="1"/>
      <c r="R65" s="1"/>
      <c r="S65" s="1"/>
      <c r="T65" s="1"/>
      <c r="U65" s="1"/>
      <c r="V65" s="1"/>
      <c r="W65" s="1"/>
      <c r="X65" s="1"/>
      <c r="Y65" s="1"/>
      <c r="Z65" s="1"/>
      <c r="AA65" s="1"/>
      <c r="AB65" s="13"/>
      <c r="AC65" s="1"/>
      <c r="AD65" s="1"/>
      <c r="AE65" s="1"/>
      <c r="AF65" s="1"/>
      <c r="AG65" s="1"/>
      <c r="AH65" s="1"/>
      <c r="AI65" s="1"/>
      <c r="AJ65" s="1"/>
      <c r="AK65" s="13"/>
      <c r="AL65" s="1"/>
      <c r="AM65" s="1"/>
      <c r="AN65" s="1"/>
      <c r="AO65" s="1"/>
      <c r="AP65" s="1"/>
      <c r="AQ65" s="1"/>
      <c r="AR65" s="13"/>
      <c r="AS65" s="13"/>
      <c r="AT65" s="1"/>
      <c r="AU65" s="1"/>
      <c r="AV65" s="1"/>
      <c r="AW65" s="1"/>
      <c r="AX65" s="1"/>
      <c r="AY65" s="1"/>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pans="1:74" x14ac:dyDescent="0.2">
      <c r="A66" s="13"/>
      <c r="B66" s="3"/>
      <c r="C66" s="4"/>
      <c r="D66" s="4"/>
      <c r="E66" s="4"/>
      <c r="F66" s="4"/>
      <c r="G66" s="4"/>
      <c r="H66" s="4"/>
      <c r="I66" s="4"/>
      <c r="J66" s="5"/>
      <c r="K66" s="1"/>
      <c r="L66" s="3"/>
      <c r="M66" s="17"/>
      <c r="N66" s="17"/>
      <c r="O66" s="4"/>
      <c r="P66" s="4"/>
      <c r="Q66" s="4"/>
      <c r="R66" s="5"/>
      <c r="S66" s="1"/>
      <c r="T66" s="3"/>
      <c r="U66" s="4"/>
      <c r="V66" s="4"/>
      <c r="W66" s="4"/>
      <c r="X66" s="4"/>
      <c r="Y66" s="4"/>
      <c r="Z66" s="5"/>
      <c r="AA66" s="1"/>
      <c r="AB66" s="3"/>
      <c r="AC66" s="4"/>
      <c r="AD66" s="4"/>
      <c r="AE66" s="4"/>
      <c r="AF66" s="4"/>
      <c r="AG66" s="4"/>
      <c r="AH66" s="4"/>
      <c r="AI66" s="5"/>
      <c r="AJ66" s="1"/>
      <c r="AK66" s="3"/>
      <c r="AL66" s="4"/>
      <c r="AM66" s="4"/>
      <c r="AN66" s="4"/>
      <c r="AO66" s="4"/>
      <c r="AP66" s="4"/>
      <c r="AQ66" s="5"/>
      <c r="AR66" s="13"/>
      <c r="AS66" s="3"/>
      <c r="AT66" s="4"/>
      <c r="AU66" s="4"/>
      <c r="AV66" s="4"/>
      <c r="AW66" s="4"/>
      <c r="AX66" s="4"/>
      <c r="AY66" s="5"/>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pans="1:74" x14ac:dyDescent="0.2">
      <c r="A67" s="13"/>
      <c r="B67" s="8"/>
      <c r="C67" s="2" t="s">
        <v>593</v>
      </c>
      <c r="D67" s="1"/>
      <c r="E67" s="1"/>
      <c r="F67" s="1"/>
      <c r="G67" s="1"/>
      <c r="H67" s="1"/>
      <c r="I67" s="1"/>
      <c r="J67" s="7"/>
      <c r="K67" s="1"/>
      <c r="L67" s="8"/>
      <c r="M67" s="2" t="s">
        <v>542</v>
      </c>
      <c r="N67" s="2"/>
      <c r="O67" s="1"/>
      <c r="P67" s="1"/>
      <c r="Q67" s="1"/>
      <c r="R67" s="7"/>
      <c r="S67" s="1"/>
      <c r="T67" s="8"/>
      <c r="U67" s="2" t="s">
        <v>77</v>
      </c>
      <c r="V67" s="2"/>
      <c r="W67" s="1"/>
      <c r="X67" s="1"/>
      <c r="Y67" s="1"/>
      <c r="Z67" s="7"/>
      <c r="AA67" s="1"/>
      <c r="AB67" s="8"/>
      <c r="AC67" s="2" t="s">
        <v>545</v>
      </c>
      <c r="AD67" s="2"/>
      <c r="AE67" s="1"/>
      <c r="AF67" s="1"/>
      <c r="AG67" s="1"/>
      <c r="AH67" s="1"/>
      <c r="AI67" s="7"/>
      <c r="AJ67" s="1"/>
      <c r="AK67" s="8"/>
      <c r="AL67" s="2" t="s">
        <v>555</v>
      </c>
      <c r="AM67" s="2"/>
      <c r="AN67" s="1"/>
      <c r="AO67" s="1"/>
      <c r="AP67" s="1"/>
      <c r="AQ67" s="7"/>
      <c r="AR67" s="13"/>
      <c r="AS67" s="8"/>
      <c r="AT67" s="2" t="s">
        <v>129</v>
      </c>
      <c r="AU67" s="2"/>
      <c r="AV67" s="1"/>
      <c r="AW67" s="1"/>
      <c r="AX67" s="1" t="s">
        <v>443</v>
      </c>
      <c r="AY67" s="7"/>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pans="1:74" x14ac:dyDescent="0.2">
      <c r="A68" s="13"/>
      <c r="B68" s="8"/>
      <c r="C68" s="1"/>
      <c r="D68" s="1"/>
      <c r="E68" s="1"/>
      <c r="F68" s="1"/>
      <c r="G68" s="1"/>
      <c r="H68" s="1"/>
      <c r="I68" s="1"/>
      <c r="J68" s="7"/>
      <c r="K68" s="1"/>
      <c r="L68" s="8"/>
      <c r="M68" s="1"/>
      <c r="N68" s="1"/>
      <c r="O68" s="1"/>
      <c r="P68" s="1"/>
      <c r="Q68" s="1"/>
      <c r="R68" s="7"/>
      <c r="S68" s="1"/>
      <c r="T68" s="8"/>
      <c r="U68" s="1"/>
      <c r="V68" s="1"/>
      <c r="W68" s="1"/>
      <c r="X68" s="1"/>
      <c r="Y68" s="1"/>
      <c r="Z68" s="7"/>
      <c r="AA68" s="1"/>
      <c r="AB68" s="8"/>
      <c r="AC68" s="1"/>
      <c r="AD68" s="1"/>
      <c r="AE68" s="1"/>
      <c r="AF68" s="1"/>
      <c r="AG68" s="1"/>
      <c r="AH68" s="1"/>
      <c r="AI68" s="7"/>
      <c r="AJ68" s="1"/>
      <c r="AK68" s="8"/>
      <c r="AL68" s="1"/>
      <c r="AM68" s="1"/>
      <c r="AN68" s="1"/>
      <c r="AO68" s="1"/>
      <c r="AP68" s="1"/>
      <c r="AQ68" s="7"/>
      <c r="AR68" s="13"/>
      <c r="AS68" s="8"/>
      <c r="AT68" s="1"/>
      <c r="AU68" s="1"/>
      <c r="AV68" s="1"/>
      <c r="AW68" s="1"/>
      <c r="AX68" s="1"/>
      <c r="AY68" s="7"/>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pans="1:74" x14ac:dyDescent="0.2">
      <c r="A69" s="13"/>
      <c r="B69" s="8"/>
      <c r="C69" s="1" t="s">
        <v>16</v>
      </c>
      <c r="D69" s="1"/>
      <c r="E69" s="27">
        <f>Tata_gases!C54</f>
        <v>4.2104118701211917</v>
      </c>
      <c r="F69" s="27"/>
      <c r="G69" s="1" t="s">
        <v>188</v>
      </c>
      <c r="H69" s="1"/>
      <c r="I69" s="1"/>
      <c r="J69" s="7"/>
      <c r="K69" s="1"/>
      <c r="L69" s="8"/>
      <c r="M69" s="1" t="s">
        <v>8</v>
      </c>
      <c r="N69" s="1"/>
      <c r="O69" s="42">
        <v>0.8</v>
      </c>
      <c r="P69" s="27"/>
      <c r="Q69" s="1"/>
      <c r="R69" s="7" t="s">
        <v>524</v>
      </c>
      <c r="S69" s="1"/>
      <c r="T69" s="8"/>
      <c r="U69" s="1" t="s">
        <v>28</v>
      </c>
      <c r="V69" s="1"/>
      <c r="W69" s="35">
        <f>Tata_gases!C133</f>
        <v>83.986407685881375</v>
      </c>
      <c r="X69" s="35"/>
      <c r="Y69" s="1" t="s">
        <v>192</v>
      </c>
      <c r="Z69" s="7" t="s">
        <v>569</v>
      </c>
      <c r="AA69" s="1"/>
      <c r="AB69" s="8"/>
      <c r="AC69" s="1" t="s">
        <v>544</v>
      </c>
      <c r="AD69" s="1"/>
      <c r="AE69" s="1"/>
      <c r="AF69" s="1"/>
      <c r="AG69" s="1"/>
      <c r="AH69" s="1"/>
      <c r="AI69" s="7"/>
      <c r="AJ69" s="1"/>
      <c r="AK69" s="8"/>
      <c r="AL69" s="1" t="s">
        <v>89</v>
      </c>
      <c r="AM69" s="1"/>
      <c r="AN69" s="12">
        <v>0.99</v>
      </c>
      <c r="AO69" s="1"/>
      <c r="AP69" s="1"/>
      <c r="AQ69" s="7" t="s">
        <v>124</v>
      </c>
      <c r="AR69" s="13"/>
      <c r="AS69" s="8"/>
      <c r="AT69" s="1" t="s">
        <v>89</v>
      </c>
      <c r="AU69" s="1"/>
      <c r="AV69" s="24">
        <v>0.7</v>
      </c>
      <c r="AW69" s="66"/>
      <c r="AX69" s="1"/>
      <c r="AY69" s="7" t="s">
        <v>126</v>
      </c>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pans="1:74" x14ac:dyDescent="0.2">
      <c r="A70" s="13"/>
      <c r="B70" s="8"/>
      <c r="C70" s="1" t="s">
        <v>17</v>
      </c>
      <c r="D70" s="1"/>
      <c r="E70" s="45">
        <v>0.99990000000000001</v>
      </c>
      <c r="F70" s="65"/>
      <c r="G70" s="1"/>
      <c r="H70" s="1"/>
      <c r="I70" s="1" t="s">
        <v>281</v>
      </c>
      <c r="J70" s="7"/>
      <c r="K70" s="1"/>
      <c r="L70" s="8"/>
      <c r="M70" s="1"/>
      <c r="N70" s="1"/>
      <c r="O70" s="27" t="s">
        <v>642</v>
      </c>
      <c r="P70" s="27"/>
      <c r="Q70" s="1"/>
      <c r="R70" s="7"/>
      <c r="S70" s="1"/>
      <c r="T70" s="8"/>
      <c r="U70" s="1" t="s">
        <v>55</v>
      </c>
      <c r="V70" s="1"/>
      <c r="W70" s="42">
        <v>0.98</v>
      </c>
      <c r="X70" s="27"/>
      <c r="Y70" s="1"/>
      <c r="Z70" s="7" t="s">
        <v>196</v>
      </c>
      <c r="AA70" s="1"/>
      <c r="AB70" s="8"/>
      <c r="AC70" s="1" t="s">
        <v>3</v>
      </c>
      <c r="AD70" s="1"/>
      <c r="AE70" s="42">
        <f>0.55/0.9</f>
        <v>0.61111111111111116</v>
      </c>
      <c r="AF70" s="1"/>
      <c r="AG70" s="1"/>
      <c r="AH70" s="1"/>
      <c r="AI70" s="7"/>
      <c r="AJ70" s="1"/>
      <c r="AK70" s="8"/>
      <c r="AL70" s="1" t="s">
        <v>11</v>
      </c>
      <c r="AM70" s="1"/>
      <c r="AN70" s="42">
        <v>25</v>
      </c>
      <c r="AO70" s="27"/>
      <c r="AP70" s="1" t="s">
        <v>12</v>
      </c>
      <c r="AQ70" s="7" t="s">
        <v>125</v>
      </c>
      <c r="AR70" s="13"/>
      <c r="AS70" s="8"/>
      <c r="AT70" s="1" t="s">
        <v>11</v>
      </c>
      <c r="AU70" s="1"/>
      <c r="AV70" s="12">
        <v>20</v>
      </c>
      <c r="AW70" s="1"/>
      <c r="AX70" s="1" t="s">
        <v>12</v>
      </c>
      <c r="AY70" s="7"/>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pans="1:74" x14ac:dyDescent="0.2">
      <c r="A71" s="13"/>
      <c r="B71" s="8"/>
      <c r="C71" s="1"/>
      <c r="D71" s="1"/>
      <c r="E71" s="28"/>
      <c r="F71" s="28"/>
      <c r="G71" s="30"/>
      <c r="H71" s="30"/>
      <c r="I71" s="1"/>
      <c r="J71" s="7"/>
      <c r="K71" s="1"/>
      <c r="L71" s="8"/>
      <c r="M71" s="1" t="s">
        <v>9</v>
      </c>
      <c r="N71" s="1"/>
      <c r="O71" s="93">
        <v>300</v>
      </c>
      <c r="P71" s="27"/>
      <c r="Q71" s="1" t="s">
        <v>190</v>
      </c>
      <c r="R71" s="7" t="s">
        <v>309</v>
      </c>
      <c r="S71" s="1"/>
      <c r="T71" s="9"/>
      <c r="U71" s="10"/>
      <c r="V71" s="10"/>
      <c r="W71" s="40"/>
      <c r="X71" s="40"/>
      <c r="Y71" s="10"/>
      <c r="Z71" s="11"/>
      <c r="AA71" s="1"/>
      <c r="AB71" s="8"/>
      <c r="AC71" s="1" t="s">
        <v>25</v>
      </c>
      <c r="AD71" s="1"/>
      <c r="AE71" s="42">
        <f>0.35/0.9</f>
        <v>0.38888888888888884</v>
      </c>
      <c r="AF71" s="1"/>
      <c r="AG71" s="1"/>
      <c r="AH71" s="1"/>
      <c r="AI71" s="7"/>
      <c r="AJ71" s="1"/>
      <c r="AK71" s="8"/>
      <c r="AL71" s="1"/>
      <c r="AM71" s="1"/>
      <c r="AN71" s="27"/>
      <c r="AO71" s="27"/>
      <c r="AP71" s="1"/>
      <c r="AQ71" s="7"/>
      <c r="AR71" s="13"/>
      <c r="AS71" s="8"/>
      <c r="AT71" s="1" t="s">
        <v>10</v>
      </c>
      <c r="AU71" s="1"/>
      <c r="AV71" s="12">
        <v>8000</v>
      </c>
      <c r="AW71" s="1"/>
      <c r="AX71" s="1" t="s">
        <v>14</v>
      </c>
      <c r="AY71" s="7"/>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pans="1:74" x14ac:dyDescent="0.2">
      <c r="A72" s="13"/>
      <c r="B72" s="8"/>
      <c r="C72" s="1"/>
      <c r="D72" s="1"/>
      <c r="E72" s="27"/>
      <c r="F72" s="27"/>
      <c r="G72" s="1"/>
      <c r="H72" s="1"/>
      <c r="I72" s="1" t="s">
        <v>282</v>
      </c>
      <c r="J72" s="7"/>
      <c r="K72" s="1"/>
      <c r="L72" s="8"/>
      <c r="M72" s="1" t="s">
        <v>488</v>
      </c>
      <c r="N72" s="1"/>
      <c r="O72" s="42">
        <v>80000</v>
      </c>
      <c r="P72" s="27"/>
      <c r="Q72" s="1" t="s">
        <v>14</v>
      </c>
      <c r="R72" s="7" t="s">
        <v>309</v>
      </c>
      <c r="S72" s="1"/>
      <c r="T72" s="3"/>
      <c r="U72" s="4"/>
      <c r="V72" s="4"/>
      <c r="W72" s="4"/>
      <c r="X72" s="4"/>
      <c r="Y72" s="4"/>
      <c r="Z72" s="5"/>
      <c r="AA72" s="1"/>
      <c r="AB72" s="8"/>
      <c r="AC72" s="1" t="s">
        <v>26</v>
      </c>
      <c r="AD72" s="1"/>
      <c r="AE72" s="12">
        <v>0.1</v>
      </c>
      <c r="AF72" s="1"/>
      <c r="AG72" s="1" t="s">
        <v>423</v>
      </c>
      <c r="AH72" s="1"/>
      <c r="AI72" s="7"/>
      <c r="AJ72" s="1"/>
      <c r="AK72" s="8"/>
      <c r="AL72" s="2" t="s">
        <v>109</v>
      </c>
      <c r="AM72" s="1"/>
      <c r="AN72" s="27">
        <f>40.6+0.131-0.236-39.3</f>
        <v>1.1950000000000074</v>
      </c>
      <c r="AO72" s="27"/>
      <c r="AP72" s="1" t="s">
        <v>216</v>
      </c>
      <c r="AQ72" s="7"/>
      <c r="AR72" s="13"/>
      <c r="AS72" s="8"/>
      <c r="AT72" s="1"/>
      <c r="AU72" s="1"/>
      <c r="AV72" s="1"/>
      <c r="AW72" s="1"/>
      <c r="AX72" s="1"/>
      <c r="AY72" s="7"/>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pans="1:74" x14ac:dyDescent="0.2">
      <c r="A73" s="13"/>
      <c r="B73" s="8"/>
      <c r="C73" s="1" t="s">
        <v>132</v>
      </c>
      <c r="D73" s="1"/>
      <c r="E73" s="118">
        <f>195+45</f>
        <v>240</v>
      </c>
      <c r="F73" s="28"/>
      <c r="G73" s="1" t="s">
        <v>155</v>
      </c>
      <c r="H73" s="1"/>
      <c r="I73" s="1" t="s">
        <v>485</v>
      </c>
      <c r="J73" s="7"/>
      <c r="K73" s="1"/>
      <c r="L73" s="8"/>
      <c r="M73" s="1" t="s">
        <v>488</v>
      </c>
      <c r="N73" s="1"/>
      <c r="O73" s="27">
        <f>O72/O86</f>
        <v>16</v>
      </c>
      <c r="P73" s="27"/>
      <c r="Q73" s="1" t="s">
        <v>12</v>
      </c>
      <c r="R73" s="7"/>
      <c r="S73" s="1"/>
      <c r="T73" s="8"/>
      <c r="U73" s="2" t="s">
        <v>88</v>
      </c>
      <c r="V73" s="2"/>
      <c r="W73" s="27"/>
      <c r="X73" s="27"/>
      <c r="Y73" s="1"/>
      <c r="Z73" s="7"/>
      <c r="AA73" s="1"/>
      <c r="AB73" s="8"/>
      <c r="AC73" s="1"/>
      <c r="AD73" s="1"/>
      <c r="AE73" s="1"/>
      <c r="AF73" s="1"/>
      <c r="AG73" s="1"/>
      <c r="AH73" s="1"/>
      <c r="AI73" s="7"/>
      <c r="AJ73" s="13"/>
      <c r="AK73" s="8"/>
      <c r="AL73" s="1" t="s">
        <v>138</v>
      </c>
      <c r="AM73" s="1"/>
      <c r="AN73" s="27">
        <f>AN72/3.6*1000</f>
        <v>331.9444444444465</v>
      </c>
      <c r="AO73" s="27"/>
      <c r="AP73" s="1" t="s">
        <v>123</v>
      </c>
      <c r="AQ73" s="7" t="s">
        <v>124</v>
      </c>
      <c r="AR73" s="1"/>
      <c r="AS73" s="8"/>
      <c r="AT73" s="1" t="s">
        <v>350</v>
      </c>
      <c r="AU73" s="1"/>
      <c r="AV73" s="1">
        <f>W16/(AV71/8760)/365.25</f>
        <v>0</v>
      </c>
      <c r="AW73" s="1"/>
      <c r="AX73" s="1"/>
      <c r="AY73" s="7"/>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pans="1:74" x14ac:dyDescent="0.2">
      <c r="A74" s="13"/>
      <c r="B74" s="8"/>
      <c r="C74" s="1" t="s">
        <v>133</v>
      </c>
      <c r="D74" s="1"/>
      <c r="E74" s="42">
        <v>0</v>
      </c>
      <c r="F74" s="27"/>
      <c r="G74" s="1" t="s">
        <v>156</v>
      </c>
      <c r="H74" s="1"/>
      <c r="I74" s="1" t="s">
        <v>592</v>
      </c>
      <c r="J74" s="7"/>
      <c r="K74" s="1"/>
      <c r="L74" s="8"/>
      <c r="M74" s="1" t="s">
        <v>489</v>
      </c>
      <c r="N74" s="1"/>
      <c r="O74" s="42">
        <v>30</v>
      </c>
      <c r="P74" s="27"/>
      <c r="Q74" s="1" t="s">
        <v>12</v>
      </c>
      <c r="R74" s="7"/>
      <c r="S74" s="1"/>
      <c r="T74" s="8"/>
      <c r="U74" s="1"/>
      <c r="V74" s="1"/>
      <c r="W74" s="27"/>
      <c r="X74" s="27"/>
      <c r="Y74" s="1"/>
      <c r="Z74" s="7"/>
      <c r="AA74" s="1"/>
      <c r="AB74" s="8"/>
      <c r="AC74" s="2" t="s">
        <v>109</v>
      </c>
      <c r="AD74" s="1"/>
      <c r="AE74" s="1"/>
      <c r="AF74" s="1"/>
      <c r="AG74" s="1"/>
      <c r="AH74" s="1"/>
      <c r="AI74" s="7"/>
      <c r="AJ74" s="13"/>
      <c r="AK74" s="8"/>
      <c r="AL74" s="1" t="s">
        <v>269</v>
      </c>
      <c r="AM74" s="1"/>
      <c r="AN74" s="27">
        <f>E48*AN73</f>
        <v>13.27777777777786</v>
      </c>
      <c r="AO74" s="27"/>
      <c r="AP74" s="1" t="s">
        <v>194</v>
      </c>
      <c r="AQ74" s="7"/>
      <c r="AR74" s="1"/>
      <c r="AS74" s="8"/>
      <c r="AT74" s="1"/>
      <c r="AU74" s="1"/>
      <c r="AV74" s="1">
        <f>AV73/AR27/159*1000</f>
        <v>0</v>
      </c>
      <c r="AW74" s="1"/>
      <c r="AX74" s="1" t="s">
        <v>444</v>
      </c>
      <c r="AY74" s="7"/>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pans="1:74" x14ac:dyDescent="0.2">
      <c r="A75" s="13"/>
      <c r="B75" s="8"/>
      <c r="C75" s="1" t="s">
        <v>134</v>
      </c>
      <c r="D75" s="1"/>
      <c r="E75" s="27">
        <f>E73*E48</f>
        <v>9.6</v>
      </c>
      <c r="F75" s="27"/>
      <c r="G75" s="30" t="s">
        <v>187</v>
      </c>
      <c r="H75" s="30"/>
      <c r="I75" s="1"/>
      <c r="J75" s="7"/>
      <c r="K75" s="1"/>
      <c r="L75" s="8"/>
      <c r="M75" s="1" t="s">
        <v>539</v>
      </c>
      <c r="N75" s="1"/>
      <c r="O75" s="42">
        <v>0.15</v>
      </c>
      <c r="P75" s="1"/>
      <c r="Q75" s="1"/>
      <c r="R75" s="7"/>
      <c r="S75" s="1"/>
      <c r="T75" s="8"/>
      <c r="U75" s="1" t="s">
        <v>8</v>
      </c>
      <c r="V75" s="1"/>
      <c r="W75" s="42">
        <v>0.75</v>
      </c>
      <c r="X75" s="27"/>
      <c r="Y75" s="1"/>
      <c r="Z75" s="7" t="s">
        <v>82</v>
      </c>
      <c r="AA75" s="1"/>
      <c r="AB75" s="8"/>
      <c r="AC75" s="1" t="s">
        <v>10</v>
      </c>
      <c r="AD75" s="1"/>
      <c r="AE75" s="42">
        <v>8000</v>
      </c>
      <c r="AF75" s="1"/>
      <c r="AG75" s="1"/>
      <c r="AH75" s="1"/>
      <c r="AI75" s="7"/>
      <c r="AJ75" s="13"/>
      <c r="AK75" s="8"/>
      <c r="AL75" s="1"/>
      <c r="AM75" s="1"/>
      <c r="AN75" s="27"/>
      <c r="AO75" s="27"/>
      <c r="AP75" s="1"/>
      <c r="AQ75" s="7"/>
      <c r="AR75" s="1"/>
      <c r="AS75" s="8"/>
      <c r="AT75" s="1"/>
      <c r="AU75" s="1"/>
      <c r="AV75" s="1"/>
      <c r="AW75" s="1"/>
      <c r="AX75" s="1"/>
      <c r="AY75" s="7"/>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pans="1:74" x14ac:dyDescent="0.2">
      <c r="A76" s="13"/>
      <c r="B76" s="8"/>
      <c r="C76" s="1" t="s">
        <v>135</v>
      </c>
      <c r="D76" s="1"/>
      <c r="E76" s="35">
        <f>E74/0.857*Process!E52*1000</f>
        <v>0</v>
      </c>
      <c r="F76" s="27"/>
      <c r="G76" s="30" t="s">
        <v>187</v>
      </c>
      <c r="H76" s="30"/>
      <c r="I76" s="1" t="s">
        <v>546</v>
      </c>
      <c r="J76" s="7"/>
      <c r="K76" s="1"/>
      <c r="L76" s="8"/>
      <c r="M76" s="1" t="s">
        <v>540</v>
      </c>
      <c r="N76" s="1"/>
      <c r="O76" s="1">
        <f>O71+O75*O71*(O74-O73)/O73</f>
        <v>339.375</v>
      </c>
      <c r="P76" s="1"/>
      <c r="Q76" s="1" t="s">
        <v>190</v>
      </c>
      <c r="R76" s="7"/>
      <c r="S76" s="1"/>
      <c r="T76" s="8"/>
      <c r="U76" s="1" t="s">
        <v>89</v>
      </c>
      <c r="V76" s="1"/>
      <c r="W76" s="56">
        <f>636/(1000*Process!AR7/Process!AR8)</f>
        <v>0.99942857142857144</v>
      </c>
      <c r="X76" s="56"/>
      <c r="Y76" s="1"/>
      <c r="Z76" s="7"/>
      <c r="AA76" s="1"/>
      <c r="AB76" s="8"/>
      <c r="AC76" s="1" t="s">
        <v>350</v>
      </c>
      <c r="AD76" s="1"/>
      <c r="AE76" s="27">
        <f>S27/(AE75/8760)/365.25</f>
        <v>8.6873727721299976E-3</v>
      </c>
      <c r="AF76" s="1"/>
      <c r="AG76" s="1" t="s">
        <v>424</v>
      </c>
      <c r="AH76" s="1"/>
      <c r="AI76" s="7"/>
      <c r="AJ76" s="1"/>
      <c r="AK76" s="101"/>
      <c r="AL76" s="2" t="s">
        <v>159</v>
      </c>
      <c r="AM76" s="1"/>
      <c r="AN76" s="27"/>
      <c r="AO76" s="27"/>
      <c r="AP76" s="1"/>
      <c r="AQ76" s="7"/>
      <c r="AR76" s="1"/>
      <c r="AS76" s="101"/>
      <c r="AT76" s="2" t="s">
        <v>109</v>
      </c>
      <c r="AU76" s="1"/>
      <c r="AV76" s="1"/>
      <c r="AW76" s="1"/>
      <c r="AX76" s="1"/>
      <c r="AY76" s="7"/>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pans="1:74" x14ac:dyDescent="0.2">
      <c r="A77" s="13"/>
      <c r="B77" s="8"/>
      <c r="C77" s="1"/>
      <c r="D77" s="1"/>
      <c r="E77" s="27"/>
      <c r="F77" s="27"/>
      <c r="G77" s="1"/>
      <c r="H77" s="1"/>
      <c r="I77" s="1"/>
      <c r="J77" s="7"/>
      <c r="K77" s="1"/>
      <c r="L77" s="8"/>
      <c r="M77" s="1" t="s">
        <v>541</v>
      </c>
      <c r="N77" s="1"/>
      <c r="O77" s="27">
        <f>O74</f>
        <v>30</v>
      </c>
      <c r="P77" s="1"/>
      <c r="Q77" s="1" t="s">
        <v>12</v>
      </c>
      <c r="R77" s="7"/>
      <c r="S77" s="1"/>
      <c r="T77" s="8"/>
      <c r="U77" s="1"/>
      <c r="V77" s="1"/>
      <c r="W77" s="27"/>
      <c r="X77" s="27"/>
      <c r="Y77" s="1"/>
      <c r="Z77" s="7"/>
      <c r="AA77" s="1"/>
      <c r="AB77" s="101"/>
      <c r="AC77" s="1"/>
      <c r="AD77" s="1"/>
      <c r="AE77" s="27">
        <f>AE76/AR27/159*1000</f>
        <v>6.7957169906207926E-2</v>
      </c>
      <c r="AF77" s="1"/>
      <c r="AG77" s="1" t="s">
        <v>427</v>
      </c>
      <c r="AH77" s="1"/>
      <c r="AI77" s="7"/>
      <c r="AJ77" s="1"/>
      <c r="AK77" s="101"/>
      <c r="AL77" s="1" t="s">
        <v>121</v>
      </c>
      <c r="AM77" s="1"/>
      <c r="AN77" s="27">
        <f>AN69*(G22*(AR11/AR8)+O8*(AR11/AR7))</f>
        <v>6.4734239373259994</v>
      </c>
      <c r="AO77" s="27"/>
      <c r="AP77" s="1" t="s">
        <v>122</v>
      </c>
      <c r="AQ77" s="7"/>
      <c r="AR77" s="1"/>
      <c r="AS77" s="101"/>
      <c r="AT77" s="1" t="s">
        <v>439</v>
      </c>
      <c r="AU77" s="1"/>
      <c r="AV77" s="27"/>
      <c r="AW77" s="1"/>
      <c r="AX77" s="103"/>
      <c r="AY77" s="7" t="s">
        <v>445</v>
      </c>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pans="1:74" x14ac:dyDescent="0.2">
      <c r="A78" s="13"/>
      <c r="B78" s="8"/>
      <c r="C78" s="1" t="s">
        <v>9</v>
      </c>
      <c r="D78" s="1"/>
      <c r="E78" s="115">
        <v>180</v>
      </c>
      <c r="F78" s="27"/>
      <c r="G78" s="30" t="s">
        <v>285</v>
      </c>
      <c r="H78" s="62"/>
      <c r="I78" s="62" t="s">
        <v>379</v>
      </c>
      <c r="J78" s="7"/>
      <c r="K78" s="1"/>
      <c r="L78" s="8"/>
      <c r="M78" s="1"/>
      <c r="N78" s="1"/>
      <c r="O78" s="1"/>
      <c r="P78" s="1"/>
      <c r="Q78" s="1"/>
      <c r="R78" s="7"/>
      <c r="S78" s="1"/>
      <c r="T78" s="8"/>
      <c r="U78" s="22" t="s">
        <v>9</v>
      </c>
      <c r="V78" s="22"/>
      <c r="W78" s="42">
        <f>O71</f>
        <v>300</v>
      </c>
      <c r="X78" s="27"/>
      <c r="Y78" s="1" t="s">
        <v>190</v>
      </c>
      <c r="Z78" s="7" t="s">
        <v>268</v>
      </c>
      <c r="AA78" s="1"/>
      <c r="AB78" s="101"/>
      <c r="AC78" s="13"/>
      <c r="AD78" s="13"/>
      <c r="AE78" s="13"/>
      <c r="AF78" s="13"/>
      <c r="AG78" s="13"/>
      <c r="AH78" s="13"/>
      <c r="AI78" s="7"/>
      <c r="AJ78" s="1"/>
      <c r="AK78" s="101"/>
      <c r="AL78" s="1" t="s">
        <v>132</v>
      </c>
      <c r="AM78" s="1"/>
      <c r="AN78" s="27">
        <f>AN73*AN77</f>
        <v>2148.8171125290605</v>
      </c>
      <c r="AO78" s="27"/>
      <c r="AP78" s="1" t="s">
        <v>93</v>
      </c>
      <c r="AQ78" s="7"/>
      <c r="AR78" s="1"/>
      <c r="AS78" s="101"/>
      <c r="AT78" s="26"/>
      <c r="AU78" s="26"/>
      <c r="AV78" s="27">
        <v>112</v>
      </c>
      <c r="AW78" s="1"/>
      <c r="AX78" s="1" t="s">
        <v>92</v>
      </c>
      <c r="AY78" s="7"/>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pans="1:74" x14ac:dyDescent="0.2">
      <c r="A79" s="13"/>
      <c r="B79" s="8"/>
      <c r="C79" s="1" t="s">
        <v>9</v>
      </c>
      <c r="D79" s="1"/>
      <c r="E79" s="27">
        <f>E78*E69</f>
        <v>757.8741366218145</v>
      </c>
      <c r="F79" s="27"/>
      <c r="G79" s="62" t="s">
        <v>158</v>
      </c>
      <c r="H79" s="62"/>
      <c r="I79" s="1"/>
      <c r="J79" s="7"/>
      <c r="K79" s="1"/>
      <c r="L79" s="8"/>
      <c r="M79" s="1" t="s">
        <v>139</v>
      </c>
      <c r="N79" s="1"/>
      <c r="O79" s="27">
        <v>39.405000000000001</v>
      </c>
      <c r="P79" s="27"/>
      <c r="Q79" s="1" t="s">
        <v>5</v>
      </c>
      <c r="R79" s="7"/>
      <c r="S79" s="1"/>
      <c r="T79" s="8"/>
      <c r="U79" s="1" t="s">
        <v>488</v>
      </c>
      <c r="V79" s="1"/>
      <c r="W79" s="42">
        <v>80000</v>
      </c>
      <c r="X79" s="27"/>
      <c r="Y79" s="1" t="s">
        <v>14</v>
      </c>
      <c r="Z79" s="7" t="s">
        <v>268</v>
      </c>
      <c r="AA79" s="1"/>
      <c r="AB79" s="101"/>
      <c r="AC79" s="1" t="s">
        <v>439</v>
      </c>
      <c r="AD79" s="1"/>
      <c r="AE79" s="27"/>
      <c r="AF79" s="1"/>
      <c r="AG79" s="103"/>
      <c r="AH79" s="103" t="s">
        <v>431</v>
      </c>
      <c r="AI79" s="7"/>
      <c r="AJ79" s="1"/>
      <c r="AK79" s="101"/>
      <c r="AL79" s="1" t="s">
        <v>10</v>
      </c>
      <c r="AM79" s="1"/>
      <c r="AN79" s="42">
        <v>8000</v>
      </c>
      <c r="AO79" s="27"/>
      <c r="AP79" s="1" t="s">
        <v>14</v>
      </c>
      <c r="AQ79" s="7" t="s">
        <v>125</v>
      </c>
      <c r="AR79" s="1"/>
      <c r="AS79" s="101"/>
      <c r="AT79" s="26"/>
      <c r="AU79" s="26"/>
      <c r="AV79" s="12">
        <f>AV78*AV74*1000/50</f>
        <v>0</v>
      </c>
      <c r="AW79" s="1"/>
      <c r="AX79" s="1" t="s">
        <v>92</v>
      </c>
      <c r="AY79" s="7"/>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pans="1:74" x14ac:dyDescent="0.2">
      <c r="A80" s="13"/>
      <c r="B80" s="8"/>
      <c r="C80" s="1" t="s">
        <v>420</v>
      </c>
      <c r="D80" s="1"/>
      <c r="E80" s="27">
        <f>$AR$29</f>
        <v>0.05</v>
      </c>
      <c r="F80" s="27"/>
      <c r="G80" s="62"/>
      <c r="H80" s="62"/>
      <c r="I80" s="1"/>
      <c r="J80" s="7"/>
      <c r="K80" s="1"/>
      <c r="L80" s="8"/>
      <c r="M80" s="1" t="s">
        <v>140</v>
      </c>
      <c r="N80" s="1"/>
      <c r="O80" s="27">
        <f>O79/O69</f>
        <v>49.256250000000001</v>
      </c>
      <c r="P80" s="27"/>
      <c r="Q80" s="1" t="s">
        <v>5</v>
      </c>
      <c r="R80" s="7"/>
      <c r="S80" s="1"/>
      <c r="T80" s="8"/>
      <c r="U80" s="1" t="s">
        <v>488</v>
      </c>
      <c r="V80" s="1"/>
      <c r="W80" s="27">
        <f>W79/W93</f>
        <v>16</v>
      </c>
      <c r="X80" s="27"/>
      <c r="Y80" s="1" t="s">
        <v>12</v>
      </c>
      <c r="Z80" s="7"/>
      <c r="AA80" s="1"/>
      <c r="AB80" s="101"/>
      <c r="AC80" s="26"/>
      <c r="AD80" s="26"/>
      <c r="AE80" s="104">
        <f>262.9-195.5-2</f>
        <v>65.399999999999977</v>
      </c>
      <c r="AF80" s="26"/>
      <c r="AG80" s="26" t="s">
        <v>92</v>
      </c>
      <c r="AH80" s="26" t="s">
        <v>436</v>
      </c>
      <c r="AI80" s="7"/>
      <c r="AJ80" s="1"/>
      <c r="AK80" s="8"/>
      <c r="AL80" s="1"/>
      <c r="AM80" s="1"/>
      <c r="AN80" s="1"/>
      <c r="AO80" s="27"/>
      <c r="AP80" s="1"/>
      <c r="AQ80" s="7"/>
      <c r="AR80" s="1"/>
      <c r="AS80" s="8"/>
      <c r="AT80" s="26" t="s">
        <v>440</v>
      </c>
      <c r="AU80" s="26"/>
      <c r="AV80" s="1">
        <f>AV79*AV71/1000000</f>
        <v>0</v>
      </c>
      <c r="AW80" s="1"/>
      <c r="AX80" s="1" t="s">
        <v>302</v>
      </c>
      <c r="AY80" s="7"/>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pans="1:74" x14ac:dyDescent="0.2">
      <c r="A81" s="13"/>
      <c r="B81" s="8"/>
      <c r="C81" s="1" t="s">
        <v>421</v>
      </c>
      <c r="D81" s="1"/>
      <c r="E81" s="27">
        <v>10</v>
      </c>
      <c r="F81" s="27"/>
      <c r="G81" s="62" t="s">
        <v>12</v>
      </c>
      <c r="H81" s="62"/>
      <c r="I81" s="1"/>
      <c r="J81" s="7"/>
      <c r="K81" s="1"/>
      <c r="L81" s="8"/>
      <c r="M81" s="1" t="s">
        <v>270</v>
      </c>
      <c r="N81" s="1"/>
      <c r="O81" s="27">
        <f>O80*1000*E48</f>
        <v>1970.25</v>
      </c>
      <c r="P81" s="27"/>
      <c r="Q81" s="62" t="s">
        <v>189</v>
      </c>
      <c r="R81" s="7"/>
      <c r="S81" s="1"/>
      <c r="T81" s="8"/>
      <c r="U81" s="1" t="s">
        <v>489</v>
      </c>
      <c r="V81" s="1"/>
      <c r="W81" s="42">
        <f>O74</f>
        <v>30</v>
      </c>
      <c r="X81" s="27"/>
      <c r="Y81" s="1" t="s">
        <v>12</v>
      </c>
      <c r="Z81" s="7" t="s">
        <v>268</v>
      </c>
      <c r="AA81" s="1"/>
      <c r="AB81" s="8"/>
      <c r="AC81" s="26"/>
      <c r="AD81" s="26"/>
      <c r="AE81" s="144">
        <f>AE80*AE77*1000/50</f>
        <v>88.887978237319928</v>
      </c>
      <c r="AF81" s="26"/>
      <c r="AG81" s="26" t="s">
        <v>432</v>
      </c>
      <c r="AH81" s="26"/>
      <c r="AI81" s="7"/>
      <c r="AJ81" s="1"/>
      <c r="AK81" s="8"/>
      <c r="AL81" s="1" t="s">
        <v>9</v>
      </c>
      <c r="AM81" s="1"/>
      <c r="AN81" s="1">
        <f>81.96*2+19.2+0.02</f>
        <v>183.14</v>
      </c>
      <c r="AO81" s="1"/>
      <c r="AP81" s="1" t="s">
        <v>588</v>
      </c>
      <c r="AQ81" s="7"/>
      <c r="AR81" s="1"/>
      <c r="AS81" s="8"/>
      <c r="AT81" s="26"/>
      <c r="AU81" s="26"/>
      <c r="AV81" s="27" t="e">
        <f>AV80/W16*1000</f>
        <v>#DIV/0!</v>
      </c>
      <c r="AW81" s="1"/>
      <c r="AX81" s="1" t="s">
        <v>264</v>
      </c>
      <c r="AY81" s="7"/>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pans="1:74" x14ac:dyDescent="0.2">
      <c r="A82" s="13"/>
      <c r="B82" s="8"/>
      <c r="C82" s="1" t="s">
        <v>422</v>
      </c>
      <c r="D82" s="1"/>
      <c r="E82" s="27">
        <f>FV(E80,E81,0,-E79)</f>
        <v>1234.4971089168662</v>
      </c>
      <c r="F82" s="27"/>
      <c r="G82" s="62" t="s">
        <v>158</v>
      </c>
      <c r="H82" s="62"/>
      <c r="I82" s="1"/>
      <c r="J82" s="7"/>
      <c r="K82" s="1"/>
      <c r="L82" s="8"/>
      <c r="M82" s="1"/>
      <c r="N82" s="1"/>
      <c r="O82" s="27"/>
      <c r="P82" s="27"/>
      <c r="Q82" s="1"/>
      <c r="R82" s="7"/>
      <c r="S82" s="1"/>
      <c r="T82" s="8"/>
      <c r="U82" s="1" t="s">
        <v>539</v>
      </c>
      <c r="V82" s="1"/>
      <c r="W82" s="42">
        <f>O75</f>
        <v>0.15</v>
      </c>
      <c r="X82" s="1"/>
      <c r="Y82" s="1"/>
      <c r="Z82" s="7" t="s">
        <v>268</v>
      </c>
      <c r="AA82" s="1"/>
      <c r="AB82" s="8"/>
      <c r="AC82" s="26" t="s">
        <v>440</v>
      </c>
      <c r="AD82" s="26"/>
      <c r="AE82" s="104">
        <f>AE81*AE75/1000000</f>
        <v>0.71110382589855936</v>
      </c>
      <c r="AF82" s="26"/>
      <c r="AG82" s="26" t="s">
        <v>302</v>
      </c>
      <c r="AH82" s="26"/>
      <c r="AI82" s="7"/>
      <c r="AJ82" s="1"/>
      <c r="AK82" s="8"/>
      <c r="AL82" s="1"/>
      <c r="AM82" s="1"/>
      <c r="AN82" s="27">
        <f>AN77/(365*AN79/8760)*1000</f>
        <v>19.420271811977997</v>
      </c>
      <c r="AO82" s="1"/>
      <c r="AP82" s="1" t="s">
        <v>533</v>
      </c>
      <c r="AQ82" s="7"/>
      <c r="AR82" s="1"/>
      <c r="AS82" s="8"/>
      <c r="AT82" s="26"/>
      <c r="AU82" s="26"/>
      <c r="AV82" s="29" t="e">
        <f>AV81*E48</f>
        <v>#DIV/0!</v>
      </c>
      <c r="AW82" s="1"/>
      <c r="AX82" s="1" t="s">
        <v>265</v>
      </c>
      <c r="AY82" s="7"/>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pans="1:74" x14ac:dyDescent="0.2">
      <c r="A83" s="13"/>
      <c r="B83" s="8"/>
      <c r="C83" s="1" t="s">
        <v>91</v>
      </c>
      <c r="D83" s="1"/>
      <c r="E83" s="42">
        <v>5</v>
      </c>
      <c r="F83" s="27"/>
      <c r="G83" s="62" t="s">
        <v>102</v>
      </c>
      <c r="H83" s="63"/>
      <c r="I83" s="1" t="s">
        <v>286</v>
      </c>
      <c r="J83" s="7"/>
      <c r="K83" s="1"/>
      <c r="L83" s="8"/>
      <c r="M83" s="2" t="s">
        <v>159</v>
      </c>
      <c r="N83" s="1"/>
      <c r="O83" s="27"/>
      <c r="P83" s="27"/>
      <c r="Q83" s="1"/>
      <c r="R83" s="7"/>
      <c r="S83" s="1"/>
      <c r="T83" s="8"/>
      <c r="U83" s="1" t="s">
        <v>540</v>
      </c>
      <c r="V83" s="1"/>
      <c r="W83" s="1">
        <f>W78+W82*W78*(W81-W80)/W80</f>
        <v>339.375</v>
      </c>
      <c r="X83" s="1"/>
      <c r="Y83" s="1" t="s">
        <v>190</v>
      </c>
      <c r="Z83" s="7"/>
      <c r="AA83" s="1"/>
      <c r="AB83" s="8"/>
      <c r="AC83" s="26"/>
      <c r="AD83" s="26"/>
      <c r="AE83" s="104">
        <f>AE82*E48*1000</f>
        <v>28.444153035942374</v>
      </c>
      <c r="AF83" s="26"/>
      <c r="AG83" s="26" t="s">
        <v>158</v>
      </c>
      <c r="AH83" s="26"/>
      <c r="AI83" s="7"/>
      <c r="AJ83" s="1"/>
      <c r="AK83" s="8"/>
      <c r="AL83" s="1"/>
      <c r="AM83" s="1"/>
      <c r="AN83" s="1"/>
      <c r="AO83" s="1"/>
      <c r="AP83" s="1"/>
      <c r="AQ83" s="7"/>
      <c r="AR83" s="1"/>
      <c r="AS83" s="8"/>
      <c r="AT83" s="1"/>
      <c r="AU83" s="1"/>
      <c r="AV83" s="1"/>
      <c r="AW83" s="1"/>
      <c r="AX83" s="1"/>
      <c r="AY83" s="7"/>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pans="1:74" x14ac:dyDescent="0.2">
      <c r="A84" s="13"/>
      <c r="B84" s="8"/>
      <c r="C84" s="1" t="s">
        <v>91</v>
      </c>
      <c r="D84" s="1"/>
      <c r="E84" s="27">
        <f>E83/100*E79</f>
        <v>37.893706831090725</v>
      </c>
      <c r="F84" s="27"/>
      <c r="G84" s="62" t="s">
        <v>157</v>
      </c>
      <c r="H84" s="63"/>
      <c r="I84" s="1"/>
      <c r="J84" s="7"/>
      <c r="K84" s="1"/>
      <c r="L84" s="8"/>
      <c r="M84" s="1" t="s">
        <v>632</v>
      </c>
      <c r="N84" s="1"/>
      <c r="O84" s="27">
        <f>AR19</f>
        <v>0.86024892896127403</v>
      </c>
      <c r="P84" s="27"/>
      <c r="Q84" s="1" t="s">
        <v>99</v>
      </c>
      <c r="R84" s="7"/>
      <c r="S84" s="1"/>
      <c r="T84" s="8"/>
      <c r="U84" s="1" t="s">
        <v>541</v>
      </c>
      <c r="V84" s="1"/>
      <c r="W84" s="27">
        <f>W81</f>
        <v>30</v>
      </c>
      <c r="X84" s="27"/>
      <c r="Y84" s="1" t="s">
        <v>12</v>
      </c>
      <c r="Z84" s="7"/>
      <c r="AA84" s="13"/>
      <c r="AB84" s="8"/>
      <c r="AC84" s="26"/>
      <c r="AD84" s="26"/>
      <c r="AE84" s="104">
        <f>AE83/S27</f>
        <v>9.8158619941245249</v>
      </c>
      <c r="AF84" s="26"/>
      <c r="AG84" s="102" t="s">
        <v>265</v>
      </c>
      <c r="AH84" s="102"/>
      <c r="AI84" s="7"/>
      <c r="AJ84" s="1"/>
      <c r="AK84" s="8"/>
      <c r="AL84" s="1" t="s">
        <v>9</v>
      </c>
      <c r="AM84" s="1"/>
      <c r="AN84" s="27">
        <f>AN82/5*AN81</f>
        <v>711.32571592913007</v>
      </c>
      <c r="AO84" s="27"/>
      <c r="AP84" s="1" t="s">
        <v>158</v>
      </c>
      <c r="AQ84" s="7"/>
      <c r="AR84" s="1"/>
      <c r="AS84" s="8"/>
      <c r="AT84" s="2" t="s">
        <v>159</v>
      </c>
      <c r="AU84" s="1"/>
      <c r="AV84" s="1"/>
      <c r="AW84" s="1"/>
      <c r="AX84" s="1"/>
      <c r="AY84" s="7"/>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pans="1:74" x14ac:dyDescent="0.2">
      <c r="A85" s="13"/>
      <c r="B85" s="8"/>
      <c r="C85" s="1"/>
      <c r="D85" s="1"/>
      <c r="E85" s="27">
        <f>E84/E69</f>
        <v>9</v>
      </c>
      <c r="F85" s="27"/>
      <c r="G85" s="30" t="s">
        <v>187</v>
      </c>
      <c r="H85" s="63"/>
      <c r="I85" s="1"/>
      <c r="J85" s="7"/>
      <c r="K85" s="1"/>
      <c r="L85" s="8"/>
      <c r="M85" s="1" t="s">
        <v>132</v>
      </c>
      <c r="N85" s="1"/>
      <c r="O85" s="27">
        <f>O84*O80*1000</f>
        <v>42372.63630714875</v>
      </c>
      <c r="P85" s="27"/>
      <c r="Q85" s="1" t="s">
        <v>93</v>
      </c>
      <c r="R85" s="7"/>
      <c r="S85" s="1"/>
      <c r="T85" s="8"/>
      <c r="U85" s="1"/>
      <c r="V85" s="1"/>
      <c r="W85" s="1"/>
      <c r="X85" s="1"/>
      <c r="Y85" s="1"/>
      <c r="Z85" s="7"/>
      <c r="AA85" s="1"/>
      <c r="AB85" s="8"/>
      <c r="AC85" s="13"/>
      <c r="AD85" s="13"/>
      <c r="AE85" s="13"/>
      <c r="AF85" s="13"/>
      <c r="AG85" s="13"/>
      <c r="AH85" s="13"/>
      <c r="AI85" s="7"/>
      <c r="AJ85" s="1"/>
      <c r="AK85" s="8"/>
      <c r="AL85" s="1" t="s">
        <v>420</v>
      </c>
      <c r="AM85" s="1"/>
      <c r="AN85" s="27">
        <f>$AR$29</f>
        <v>0.05</v>
      </c>
      <c r="AO85" s="27"/>
      <c r="AP85" s="62"/>
      <c r="AQ85" s="7"/>
      <c r="AR85" s="1"/>
      <c r="AS85" s="8"/>
      <c r="AT85" s="1" t="s">
        <v>350</v>
      </c>
      <c r="AU85" s="1"/>
      <c r="AV85" s="27">
        <v>16667</v>
      </c>
      <c r="AW85" s="1"/>
      <c r="AX85" s="1" t="s">
        <v>261</v>
      </c>
      <c r="AY85" s="7" t="s">
        <v>446</v>
      </c>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pans="1:74" x14ac:dyDescent="0.2">
      <c r="A86" s="13"/>
      <c r="B86" s="8"/>
      <c r="C86" s="1" t="s">
        <v>11</v>
      </c>
      <c r="D86" s="1"/>
      <c r="E86" s="42">
        <v>20</v>
      </c>
      <c r="F86" s="27"/>
      <c r="G86" s="1" t="s">
        <v>70</v>
      </c>
      <c r="H86" s="1"/>
      <c r="I86" s="1" t="s">
        <v>286</v>
      </c>
      <c r="J86" s="7"/>
      <c r="K86" s="1"/>
      <c r="L86" s="8"/>
      <c r="M86" s="1" t="s">
        <v>10</v>
      </c>
      <c r="N86" s="1"/>
      <c r="O86" s="113">
        <v>5000</v>
      </c>
      <c r="P86" s="27"/>
      <c r="Q86" s="1" t="s">
        <v>14</v>
      </c>
      <c r="R86" s="7" t="s">
        <v>599</v>
      </c>
      <c r="S86" s="1"/>
      <c r="T86" s="8"/>
      <c r="U86" s="1" t="s">
        <v>594</v>
      </c>
      <c r="V86" s="1"/>
      <c r="W86" s="27">
        <f>257.21/AR7/3.6</f>
        <v>2.5516865079365076</v>
      </c>
      <c r="X86" s="1"/>
      <c r="Y86" s="1" t="s">
        <v>595</v>
      </c>
      <c r="Z86" s="7"/>
      <c r="AA86" s="1"/>
      <c r="AB86" s="105"/>
      <c r="AC86" s="2" t="s">
        <v>159</v>
      </c>
      <c r="AD86" s="1"/>
      <c r="AE86" s="1"/>
      <c r="AF86" s="1"/>
      <c r="AG86" s="1"/>
      <c r="AH86" s="1"/>
      <c r="AI86" s="7"/>
      <c r="AJ86" s="1"/>
      <c r="AK86" s="8"/>
      <c r="AL86" s="1" t="s">
        <v>421</v>
      </c>
      <c r="AM86" s="1"/>
      <c r="AN86" s="27">
        <v>10</v>
      </c>
      <c r="AO86" s="27"/>
      <c r="AP86" s="62" t="s">
        <v>12</v>
      </c>
      <c r="AQ86" s="7"/>
      <c r="AR86" s="1"/>
      <c r="AS86" s="8"/>
      <c r="AT86" s="1"/>
      <c r="AU86" s="1"/>
      <c r="AV86" s="27">
        <f>AV85*159*0.832/1000000</f>
        <v>2.204844096</v>
      </c>
      <c r="AW86" s="1"/>
      <c r="AX86" s="1" t="s">
        <v>262</v>
      </c>
      <c r="AY86" s="7"/>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pans="1:74" x14ac:dyDescent="0.2">
      <c r="A87" s="13"/>
      <c r="B87" s="8"/>
      <c r="C87" s="1" t="s">
        <v>136</v>
      </c>
      <c r="D87" s="1"/>
      <c r="E87" s="27">
        <f>(E82+E84*E86)/(E86*E69*E70)</f>
        <v>23.662417882785252</v>
      </c>
      <c r="F87" s="27"/>
      <c r="G87" s="30" t="s">
        <v>187</v>
      </c>
      <c r="H87" s="30"/>
      <c r="I87" s="1"/>
      <c r="J87" s="7"/>
      <c r="K87" s="1"/>
      <c r="L87" s="8"/>
      <c r="M87" s="1" t="s">
        <v>191</v>
      </c>
      <c r="N87" s="1"/>
      <c r="O87" s="113">
        <v>1.2</v>
      </c>
      <c r="P87" s="27"/>
      <c r="Q87" s="1"/>
      <c r="R87" s="111" t="s">
        <v>523</v>
      </c>
      <c r="S87" s="2"/>
      <c r="T87" s="8"/>
      <c r="U87" s="1" t="s">
        <v>140</v>
      </c>
      <c r="V87" s="1"/>
      <c r="W87" s="27">
        <f>W86/W75</f>
        <v>3.4022486772486769</v>
      </c>
      <c r="X87" s="1"/>
      <c r="Y87" s="1" t="s">
        <v>595</v>
      </c>
      <c r="Z87" s="7"/>
      <c r="AA87" s="1"/>
      <c r="AB87" s="105"/>
      <c r="AC87" s="1" t="s">
        <v>9</v>
      </c>
      <c r="AD87" s="1"/>
      <c r="AE87" s="27">
        <f>2.749689-1.029011</f>
        <v>1.7206780000000002</v>
      </c>
      <c r="AF87" s="1"/>
      <c r="AG87" s="1" t="s">
        <v>437</v>
      </c>
      <c r="AH87" s="1" t="s">
        <v>601</v>
      </c>
      <c r="AI87" s="7"/>
      <c r="AJ87" s="1"/>
      <c r="AK87" s="8"/>
      <c r="AL87" s="1" t="s">
        <v>422</v>
      </c>
      <c r="AM87" s="1"/>
      <c r="AN87" s="27">
        <f>FV(AN85,AN86,0,-AN84)</f>
        <v>1158.6746365655767</v>
      </c>
      <c r="AO87" s="27"/>
      <c r="AP87" s="62" t="s">
        <v>158</v>
      </c>
      <c r="AQ87" s="7"/>
      <c r="AR87" s="1"/>
      <c r="AS87" s="8"/>
      <c r="AT87" s="1"/>
      <c r="AU87" s="1"/>
      <c r="AV87" s="27">
        <f>AV86*AV71/8760*365/1000</f>
        <v>0.73494803199999992</v>
      </c>
      <c r="AW87" s="1"/>
      <c r="AX87" s="1" t="s">
        <v>263</v>
      </c>
      <c r="AY87" s="7"/>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pans="1:74" x14ac:dyDescent="0.2">
      <c r="A88" s="13"/>
      <c r="B88" s="8"/>
      <c r="C88" s="1"/>
      <c r="D88" s="1"/>
      <c r="E88" s="27"/>
      <c r="F88" s="27"/>
      <c r="G88" s="1"/>
      <c r="H88" s="1"/>
      <c r="I88" s="1"/>
      <c r="J88" s="7"/>
      <c r="K88" s="1"/>
      <c r="L88" s="8"/>
      <c r="M88" s="1" t="s">
        <v>32</v>
      </c>
      <c r="N88" s="1"/>
      <c r="O88" s="27">
        <f>O85/O86*1000*O87</f>
        <v>10169.4327137157</v>
      </c>
      <c r="P88" s="27"/>
      <c r="Q88" s="1" t="s">
        <v>266</v>
      </c>
      <c r="R88" s="7"/>
      <c r="S88" s="1"/>
      <c r="T88" s="8"/>
      <c r="U88" s="1" t="s">
        <v>270</v>
      </c>
      <c r="V88" s="1"/>
      <c r="W88" s="27">
        <f>W87*E48*1000</f>
        <v>136.08994708994706</v>
      </c>
      <c r="X88" s="1"/>
      <c r="Y88" s="1" t="s">
        <v>192</v>
      </c>
      <c r="Z88" s="7"/>
      <c r="AA88" s="1"/>
      <c r="AB88" s="105"/>
      <c r="AC88" s="1" t="s">
        <v>9</v>
      </c>
      <c r="AD88" s="1"/>
      <c r="AE88" s="27">
        <f>AE77*1000/50*AE87</f>
        <v>2.3386481439974811</v>
      </c>
      <c r="AF88" s="1"/>
      <c r="AG88" s="1" t="s">
        <v>600</v>
      </c>
      <c r="AH88" s="1" t="s">
        <v>602</v>
      </c>
      <c r="AI88" s="7"/>
      <c r="AJ88" s="1"/>
      <c r="AK88" s="8"/>
      <c r="AL88" s="1"/>
      <c r="AM88" s="1"/>
      <c r="AN88" s="27"/>
      <c r="AO88" s="27"/>
      <c r="AP88" s="1"/>
      <c r="AQ88" s="7"/>
      <c r="AR88" s="1"/>
      <c r="AS88" s="8"/>
      <c r="AT88" s="1"/>
      <c r="AU88" s="1"/>
      <c r="AV88" s="27"/>
      <c r="AW88" s="1"/>
      <c r="AX88" s="1"/>
      <c r="AY88" s="7"/>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pans="1:74" x14ac:dyDescent="0.2">
      <c r="A89" s="13"/>
      <c r="B89" s="8"/>
      <c r="C89" s="1" t="s">
        <v>137</v>
      </c>
      <c r="D89" s="1"/>
      <c r="E89" s="87">
        <f>E87+E76+E75</f>
        <v>33.26241788278525</v>
      </c>
      <c r="F89" s="29"/>
      <c r="G89" s="30" t="s">
        <v>187</v>
      </c>
      <c r="H89" s="30"/>
      <c r="I89" s="1"/>
      <c r="J89" s="7"/>
      <c r="K89" s="1"/>
      <c r="L89" s="8"/>
      <c r="M89" s="1" t="s">
        <v>9</v>
      </c>
      <c r="N89" s="1"/>
      <c r="O89" s="27">
        <f>O76*O88/1000</f>
        <v>3451.2512272172653</v>
      </c>
      <c r="P89" s="27"/>
      <c r="Q89" s="1" t="s">
        <v>158</v>
      </c>
      <c r="R89" s="50"/>
      <c r="S89" s="1"/>
      <c r="T89" s="8"/>
      <c r="U89" s="1"/>
      <c r="V89" s="1"/>
      <c r="W89" s="1"/>
      <c r="X89" s="1"/>
      <c r="Y89" s="1"/>
      <c r="Z89" s="7"/>
      <c r="AA89" s="1"/>
      <c r="AB89" s="105"/>
      <c r="AC89" s="1" t="s">
        <v>420</v>
      </c>
      <c r="AD89" s="1"/>
      <c r="AE89" s="27">
        <f>$AR$29</f>
        <v>0.05</v>
      </c>
      <c r="AF89" s="27"/>
      <c r="AG89" s="62"/>
      <c r="AH89" s="62"/>
      <c r="AI89" s="7"/>
      <c r="AJ89" s="1"/>
      <c r="AK89" s="8"/>
      <c r="AL89" s="1" t="s">
        <v>9</v>
      </c>
      <c r="AM89" s="1"/>
      <c r="AN89" s="27">
        <f>AN87/(AN77*AN70)</f>
        <v>7.1595782867524953</v>
      </c>
      <c r="AO89" s="27"/>
      <c r="AP89" s="61" t="s">
        <v>194</v>
      </c>
      <c r="AQ89" s="7"/>
      <c r="AR89" s="1"/>
      <c r="AS89" s="8"/>
      <c r="AT89" s="1" t="s">
        <v>81</v>
      </c>
      <c r="AU89" s="1"/>
      <c r="AV89" s="27">
        <f>101.2+45.3+8.2</f>
        <v>154.69999999999999</v>
      </c>
      <c r="AW89" s="1"/>
      <c r="AX89" s="62" t="s">
        <v>158</v>
      </c>
      <c r="AY89" s="7"/>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pans="1:74" x14ac:dyDescent="0.2">
      <c r="A90" s="13"/>
      <c r="B90" s="9"/>
      <c r="C90" s="10"/>
      <c r="D90" s="10"/>
      <c r="E90" s="10"/>
      <c r="F90" s="10"/>
      <c r="G90" s="10"/>
      <c r="H90" s="10"/>
      <c r="I90" s="10"/>
      <c r="J90" s="11"/>
      <c r="K90" s="1"/>
      <c r="L90" s="8"/>
      <c r="M90" s="1" t="s">
        <v>420</v>
      </c>
      <c r="N90" s="1"/>
      <c r="O90" s="27">
        <f>$AR$29</f>
        <v>0.05</v>
      </c>
      <c r="P90" s="27"/>
      <c r="Q90" s="62"/>
      <c r="R90" s="7"/>
      <c r="S90" s="1"/>
      <c r="T90" s="8"/>
      <c r="U90" s="2" t="s">
        <v>159</v>
      </c>
      <c r="V90" s="1"/>
      <c r="W90" s="1"/>
      <c r="X90" s="1"/>
      <c r="Y90" s="1"/>
      <c r="Z90" s="7"/>
      <c r="AA90" s="1"/>
      <c r="AB90" s="105"/>
      <c r="AC90" s="1" t="s">
        <v>421</v>
      </c>
      <c r="AD90" s="1"/>
      <c r="AE90" s="27">
        <v>10</v>
      </c>
      <c r="AF90" s="27"/>
      <c r="AG90" s="62" t="s">
        <v>12</v>
      </c>
      <c r="AH90" s="62"/>
      <c r="AI90" s="92"/>
      <c r="AJ90" s="1"/>
      <c r="AK90" s="8"/>
      <c r="AL90" s="1" t="s">
        <v>33</v>
      </c>
      <c r="AM90" s="1"/>
      <c r="AN90" s="42">
        <v>3</v>
      </c>
      <c r="AO90" s="27"/>
      <c r="AP90" s="1" t="s">
        <v>103</v>
      </c>
      <c r="AQ90" s="7" t="s">
        <v>126</v>
      </c>
      <c r="AR90" s="1"/>
      <c r="AS90" s="8"/>
      <c r="AT90" s="1"/>
      <c r="AU90" s="1"/>
      <c r="AV90" s="42">
        <f>W16/AV87*AV89*1.2</f>
        <v>0</v>
      </c>
      <c r="AW90" s="1"/>
      <c r="AX90" s="62" t="s">
        <v>158</v>
      </c>
      <c r="AY90" s="7" t="s">
        <v>630</v>
      </c>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pans="1:74" x14ac:dyDescent="0.2">
      <c r="A91" s="13"/>
      <c r="B91" s="3"/>
      <c r="C91" s="4"/>
      <c r="D91" s="4"/>
      <c r="E91" s="4"/>
      <c r="F91" s="4"/>
      <c r="G91" s="4"/>
      <c r="H91" s="4"/>
      <c r="I91" s="4"/>
      <c r="J91" s="5"/>
      <c r="K91" s="1"/>
      <c r="L91" s="8"/>
      <c r="M91" s="1" t="s">
        <v>421</v>
      </c>
      <c r="N91" s="1"/>
      <c r="O91" s="27">
        <v>10</v>
      </c>
      <c r="P91" s="27"/>
      <c r="Q91" s="62" t="s">
        <v>12</v>
      </c>
      <c r="R91" s="7"/>
      <c r="S91" s="1"/>
      <c r="T91" s="8"/>
      <c r="U91" s="1" t="s">
        <v>95</v>
      </c>
      <c r="V91" s="1"/>
      <c r="W91" s="27">
        <f>G22*$AR$7/$AR$8*W76</f>
        <v>2.6775541672021381</v>
      </c>
      <c r="X91" s="27"/>
      <c r="Y91" s="1" t="s">
        <v>96</v>
      </c>
      <c r="Z91" s="7"/>
      <c r="AA91" s="1"/>
      <c r="AB91" s="105"/>
      <c r="AC91" s="1" t="s">
        <v>422</v>
      </c>
      <c r="AD91" s="1"/>
      <c r="AE91" s="27">
        <f>FV(AE89,AE90,0,-AE88)</f>
        <v>3.8094113956805336</v>
      </c>
      <c r="AF91" s="27"/>
      <c r="AG91" s="62" t="s">
        <v>437</v>
      </c>
      <c r="AH91" s="62"/>
      <c r="AI91" s="7"/>
      <c r="AJ91" s="1"/>
      <c r="AK91" s="8"/>
      <c r="AL91" s="1" t="s">
        <v>33</v>
      </c>
      <c r="AM91" s="1"/>
      <c r="AN91" s="35">
        <f>AN90/100*AN84/(AN77)</f>
        <v>3.2965200000000001</v>
      </c>
      <c r="AO91" s="35"/>
      <c r="AP91" s="61" t="s">
        <v>194</v>
      </c>
      <c r="AQ91" s="7"/>
      <c r="AR91" s="1"/>
      <c r="AS91" s="8"/>
      <c r="AT91" s="1" t="s">
        <v>420</v>
      </c>
      <c r="AU91" s="1"/>
      <c r="AV91" s="27">
        <v>0.04</v>
      </c>
      <c r="AW91" s="27"/>
      <c r="AX91" s="62"/>
      <c r="AY91" s="7" t="s">
        <v>631</v>
      </c>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pans="1:74" x14ac:dyDescent="0.2">
      <c r="A92" s="13"/>
      <c r="B92" s="8"/>
      <c r="C92" s="1" t="s">
        <v>313</v>
      </c>
      <c r="D92" s="1"/>
      <c r="E92" s="1" t="s">
        <v>501</v>
      </c>
      <c r="F92" s="1"/>
      <c r="G92" s="1" t="s">
        <v>534</v>
      </c>
      <c r="H92" s="1"/>
      <c r="I92" s="1"/>
      <c r="J92" s="7"/>
      <c r="K92" s="1"/>
      <c r="L92" s="8"/>
      <c r="M92" s="1" t="s">
        <v>422</v>
      </c>
      <c r="N92" s="1"/>
      <c r="O92" s="27">
        <f>FV(O90,O91,0,-O89)</f>
        <v>5621.724579673255</v>
      </c>
      <c r="P92" s="27"/>
      <c r="Q92" s="62" t="s">
        <v>158</v>
      </c>
      <c r="R92" s="7"/>
      <c r="S92" s="1"/>
      <c r="T92" s="8"/>
      <c r="U92" s="1" t="s">
        <v>132</v>
      </c>
      <c r="V92" s="1"/>
      <c r="W92" s="27">
        <f>W91*W87*1000</f>
        <v>9109.7051236251555</v>
      </c>
      <c r="X92" s="27"/>
      <c r="Y92" s="1" t="s">
        <v>93</v>
      </c>
      <c r="Z92" s="7"/>
      <c r="AA92" s="1"/>
      <c r="AB92" s="8"/>
      <c r="AC92" s="1" t="s">
        <v>428</v>
      </c>
      <c r="AD92" s="1"/>
      <c r="AE92" s="42">
        <v>5</v>
      </c>
      <c r="AF92" s="1"/>
      <c r="AG92" s="1" t="s">
        <v>103</v>
      </c>
      <c r="AH92" s="1"/>
      <c r="AI92" s="7"/>
      <c r="AJ92" s="1"/>
      <c r="AK92" s="8"/>
      <c r="AL92" s="1" t="s">
        <v>212</v>
      </c>
      <c r="AM92" s="1"/>
      <c r="AN92" s="29">
        <f>AN89+AN91</f>
        <v>10.456098286752496</v>
      </c>
      <c r="AO92" s="29"/>
      <c r="AP92" s="61" t="s">
        <v>194</v>
      </c>
      <c r="AQ92" s="7"/>
      <c r="AR92" s="1"/>
      <c r="AS92" s="8"/>
      <c r="AT92" s="1" t="s">
        <v>421</v>
      </c>
      <c r="AU92" s="1"/>
      <c r="AV92" s="27">
        <v>10</v>
      </c>
      <c r="AW92" s="27"/>
      <c r="AX92" s="62" t="s">
        <v>12</v>
      </c>
      <c r="AY92" s="7"/>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pans="1:74" x14ac:dyDescent="0.2">
      <c r="A93" s="13"/>
      <c r="B93" s="8"/>
      <c r="C93" s="13"/>
      <c r="D93" s="13"/>
      <c r="E93" s="13"/>
      <c r="F93" s="13"/>
      <c r="G93" s="13" t="s">
        <v>535</v>
      </c>
      <c r="H93" s="1"/>
      <c r="I93" s="1"/>
      <c r="J93" s="7"/>
      <c r="K93" s="1"/>
      <c r="L93" s="8"/>
      <c r="M93" s="1"/>
      <c r="N93" s="1"/>
      <c r="O93" s="27"/>
      <c r="P93" s="27"/>
      <c r="Q93" s="1"/>
      <c r="R93" s="7"/>
      <c r="S93" s="1"/>
      <c r="T93" s="8"/>
      <c r="U93" s="1" t="s">
        <v>10</v>
      </c>
      <c r="V93" s="1"/>
      <c r="W93" s="42">
        <f>O86</f>
        <v>5000</v>
      </c>
      <c r="X93" s="27"/>
      <c r="Y93" s="1" t="s">
        <v>14</v>
      </c>
      <c r="Z93" s="7" t="s">
        <v>268</v>
      </c>
      <c r="AA93" s="1"/>
      <c r="AB93" s="8"/>
      <c r="AC93" s="1" t="s">
        <v>428</v>
      </c>
      <c r="AD93" s="1"/>
      <c r="AE93" s="27">
        <f>AE92/100*AE88</f>
        <v>0.11693240719987406</v>
      </c>
      <c r="AF93" s="1"/>
      <c r="AG93" s="1" t="s">
        <v>438</v>
      </c>
      <c r="AH93" s="1"/>
      <c r="AI93" s="7"/>
      <c r="AJ93" s="1"/>
      <c r="AK93" s="8"/>
      <c r="AL93" s="1"/>
      <c r="AM93" s="1"/>
      <c r="AN93" s="27"/>
      <c r="AO93" s="27"/>
      <c r="AP93" s="1"/>
      <c r="AQ93" s="7"/>
      <c r="AR93" s="1"/>
      <c r="AS93" s="8"/>
      <c r="AT93" s="1" t="s">
        <v>422</v>
      </c>
      <c r="AU93" s="1"/>
      <c r="AV93" s="27">
        <f>FV(AV91,AV92,0,-AV90)</f>
        <v>0</v>
      </c>
      <c r="AW93" s="27"/>
      <c r="AX93" s="62" t="s">
        <v>158</v>
      </c>
      <c r="AY93" s="7"/>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pans="1:74" x14ac:dyDescent="0.2">
      <c r="A94" s="13"/>
      <c r="B94" s="8"/>
      <c r="C94" s="1"/>
      <c r="D94" s="1"/>
      <c r="E94" s="1"/>
      <c r="F94" s="1"/>
      <c r="G94" s="1"/>
      <c r="H94" s="1"/>
      <c r="I94" s="1"/>
      <c r="J94" s="7"/>
      <c r="K94" s="1"/>
      <c r="L94" s="8"/>
      <c r="M94" s="1" t="s">
        <v>9</v>
      </c>
      <c r="N94" s="1"/>
      <c r="O94" s="27">
        <f>O92/(O84*O77)</f>
        <v>217.83324920696023</v>
      </c>
      <c r="P94" s="27"/>
      <c r="Q94" s="62" t="s">
        <v>189</v>
      </c>
      <c r="R94" s="7"/>
      <c r="S94" s="2"/>
      <c r="T94" s="8"/>
      <c r="U94" s="1" t="s">
        <v>191</v>
      </c>
      <c r="V94" s="1"/>
      <c r="W94" s="42">
        <f>O87</f>
        <v>1.2</v>
      </c>
      <c r="X94" s="27"/>
      <c r="Y94" s="1"/>
      <c r="Z94" s="7" t="s">
        <v>268</v>
      </c>
      <c r="AA94" s="1"/>
      <c r="AB94" s="8"/>
      <c r="AC94" s="1" t="s">
        <v>11</v>
      </c>
      <c r="AD94" s="1"/>
      <c r="AE94" s="42">
        <v>30</v>
      </c>
      <c r="AF94" s="1"/>
      <c r="AG94" s="1" t="s">
        <v>12</v>
      </c>
      <c r="AH94" s="1"/>
      <c r="AI94" s="7"/>
      <c r="AJ94" s="2"/>
      <c r="AK94" s="8"/>
      <c r="AL94" s="1" t="s">
        <v>137</v>
      </c>
      <c r="AM94" s="1"/>
      <c r="AN94" s="87">
        <f>AN92+AN74</f>
        <v>23.733876064530357</v>
      </c>
      <c r="AO94" s="29"/>
      <c r="AP94" s="61" t="s">
        <v>194</v>
      </c>
      <c r="AQ94" s="7"/>
      <c r="AR94" s="1"/>
      <c r="AS94" s="8"/>
      <c r="AT94" s="1"/>
      <c r="AU94" s="1"/>
      <c r="AV94" s="27" t="e">
        <f>AV93/(W16*AV70)</f>
        <v>#DIV/0!</v>
      </c>
      <c r="AW94" s="1"/>
      <c r="AX94" s="1" t="s">
        <v>265</v>
      </c>
      <c r="AY94" s="7"/>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pans="1:74" x14ac:dyDescent="0.2">
      <c r="A95" s="13"/>
      <c r="B95" s="8"/>
      <c r="C95" s="1" t="s">
        <v>9</v>
      </c>
      <c r="D95" s="1"/>
      <c r="E95" s="42">
        <v>500</v>
      </c>
      <c r="F95" s="1"/>
      <c r="G95" s="1" t="s">
        <v>372</v>
      </c>
      <c r="H95" s="1"/>
      <c r="I95" s="1" t="s">
        <v>501</v>
      </c>
      <c r="J95" s="7"/>
      <c r="K95" s="1"/>
      <c r="L95" s="8"/>
      <c r="M95" s="1" t="s">
        <v>33</v>
      </c>
      <c r="N95" s="1"/>
      <c r="O95" s="42">
        <v>3</v>
      </c>
      <c r="P95" s="27"/>
      <c r="Q95" s="1" t="s">
        <v>102</v>
      </c>
      <c r="R95" s="7" t="s">
        <v>494</v>
      </c>
      <c r="S95" s="2"/>
      <c r="T95" s="8"/>
      <c r="U95" s="1" t="s">
        <v>32</v>
      </c>
      <c r="V95" s="1"/>
      <c r="W95" s="27">
        <f>W92/W93*1000*W94</f>
        <v>2186.3292296700374</v>
      </c>
      <c r="X95" s="27"/>
      <c r="Y95" s="1" t="s">
        <v>92</v>
      </c>
      <c r="Z95" s="7"/>
      <c r="AA95" s="1"/>
      <c r="AB95" s="8"/>
      <c r="AC95" s="1" t="s">
        <v>429</v>
      </c>
      <c r="AD95" s="1"/>
      <c r="AE95" s="27">
        <f>(AE91+AE93*AE94)/(AE94*S27)*1000</f>
        <v>84.172457282083911</v>
      </c>
      <c r="AF95" s="1"/>
      <c r="AG95" s="1" t="s">
        <v>430</v>
      </c>
      <c r="AH95" s="1"/>
      <c r="AI95" s="7"/>
      <c r="AJ95" s="2"/>
      <c r="AK95" s="9"/>
      <c r="AL95" s="10"/>
      <c r="AM95" s="10"/>
      <c r="AN95" s="10"/>
      <c r="AO95" s="10"/>
      <c r="AP95" s="10"/>
      <c r="AQ95" s="11"/>
      <c r="AR95" s="1"/>
      <c r="AS95" s="8"/>
      <c r="AT95" s="1" t="s">
        <v>91</v>
      </c>
      <c r="AU95" s="1"/>
      <c r="AV95" s="27">
        <v>5</v>
      </c>
      <c r="AW95" s="1"/>
      <c r="AX95" s="1" t="s">
        <v>83</v>
      </c>
      <c r="AY95" s="7"/>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pans="1:74" x14ac:dyDescent="0.2">
      <c r="A96" s="13"/>
      <c r="B96" s="8"/>
      <c r="C96" s="1" t="s">
        <v>11</v>
      </c>
      <c r="D96" s="1"/>
      <c r="E96" s="12">
        <v>25</v>
      </c>
      <c r="F96" s="1"/>
      <c r="G96" s="1" t="s">
        <v>70</v>
      </c>
      <c r="H96" s="1"/>
      <c r="I96" s="1" t="s">
        <v>501</v>
      </c>
      <c r="J96" s="7"/>
      <c r="K96" s="1"/>
      <c r="L96" s="8"/>
      <c r="M96" s="1" t="s">
        <v>33</v>
      </c>
      <c r="N96" s="1"/>
      <c r="O96" s="35">
        <f>O95/100*O89/(O84)</f>
        <v>120.35764687499997</v>
      </c>
      <c r="P96" s="35"/>
      <c r="Q96" s="62" t="s">
        <v>189</v>
      </c>
      <c r="R96" s="7"/>
      <c r="S96" s="1"/>
      <c r="T96" s="8"/>
      <c r="U96" s="1" t="s">
        <v>9</v>
      </c>
      <c r="V96" s="1"/>
      <c r="W96" s="27">
        <f>W95*W83/1000</f>
        <v>741.98548231926895</v>
      </c>
      <c r="X96" s="27"/>
      <c r="Y96" s="1" t="s">
        <v>158</v>
      </c>
      <c r="Z96" s="7"/>
      <c r="AA96" s="1"/>
      <c r="AB96" s="8"/>
      <c r="AC96" s="1"/>
      <c r="AD96" s="1"/>
      <c r="AE96" s="27"/>
      <c r="AF96" s="1"/>
      <c r="AG96" s="1"/>
      <c r="AH96" s="1"/>
      <c r="AI96" s="7"/>
      <c r="AJ96" s="1"/>
      <c r="AK96" s="1"/>
      <c r="AL96" s="1"/>
      <c r="AM96" s="1"/>
      <c r="AN96" s="1"/>
      <c r="AO96" s="1"/>
      <c r="AP96" s="1"/>
      <c r="AQ96" s="1"/>
      <c r="AR96" s="1"/>
      <c r="AS96" s="8"/>
      <c r="AT96" s="1" t="s">
        <v>91</v>
      </c>
      <c r="AU96" s="1"/>
      <c r="AV96" s="27" t="e">
        <f>AV95/100*AV90/W16</f>
        <v>#DIV/0!</v>
      </c>
      <c r="AW96" s="1"/>
      <c r="AX96" s="1" t="s">
        <v>265</v>
      </c>
      <c r="AY96" s="7"/>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pans="1:74" x14ac:dyDescent="0.2">
      <c r="A97" s="13"/>
      <c r="B97" s="8"/>
      <c r="C97" s="61" t="s">
        <v>503</v>
      </c>
      <c r="D97" s="1"/>
      <c r="E97" s="125">
        <v>0</v>
      </c>
      <c r="F97" s="61"/>
      <c r="G97" s="61" t="s">
        <v>155</v>
      </c>
      <c r="H97" s="1"/>
      <c r="I97" s="1" t="s">
        <v>502</v>
      </c>
      <c r="J97" s="7"/>
      <c r="K97" s="13"/>
      <c r="L97" s="8"/>
      <c r="M97" s="1" t="s">
        <v>137</v>
      </c>
      <c r="N97" s="1"/>
      <c r="O97" s="87">
        <f>O94+O96</f>
        <v>338.1908960819602</v>
      </c>
      <c r="P97" s="29"/>
      <c r="Q97" s="62" t="s">
        <v>189</v>
      </c>
      <c r="R97" s="7"/>
      <c r="S97" s="1"/>
      <c r="T97" s="8"/>
      <c r="U97" s="1" t="s">
        <v>420</v>
      </c>
      <c r="V97" s="1"/>
      <c r="W97" s="27">
        <f>$AR$29</f>
        <v>0.05</v>
      </c>
      <c r="X97" s="27"/>
      <c r="Y97" s="62"/>
      <c r="Z97" s="7"/>
      <c r="AA97" s="1"/>
      <c r="AB97" s="8"/>
      <c r="AC97" s="1" t="s">
        <v>52</v>
      </c>
      <c r="AD97" s="1"/>
      <c r="AE97" s="116">
        <f>AE95/1.18+AE84</f>
        <v>81.148452911144801</v>
      </c>
      <c r="AF97" s="1"/>
      <c r="AG97" s="1" t="s">
        <v>265</v>
      </c>
      <c r="AH97" s="1"/>
      <c r="AI97" s="7"/>
      <c r="AJ97" s="1"/>
      <c r="AK97" s="1"/>
      <c r="AL97" s="1"/>
      <c r="AM97" s="1"/>
      <c r="AN97" s="1"/>
      <c r="AO97" s="1"/>
      <c r="AP97" s="1"/>
      <c r="AQ97" s="1"/>
      <c r="AR97" s="1"/>
      <c r="AS97" s="8"/>
      <c r="AT97" s="1"/>
      <c r="AU97" s="1"/>
      <c r="AV97" s="1"/>
      <c r="AW97" s="1"/>
      <c r="AX97" s="1"/>
      <c r="AY97" s="7"/>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pans="1:74" x14ac:dyDescent="0.2">
      <c r="A98" s="13"/>
      <c r="B98" s="8"/>
      <c r="C98" s="61" t="s">
        <v>132</v>
      </c>
      <c r="D98" s="1"/>
      <c r="E98" s="55">
        <v>550</v>
      </c>
      <c r="F98" s="61"/>
      <c r="G98" s="61" t="s">
        <v>155</v>
      </c>
      <c r="H98" s="1"/>
      <c r="I98" s="1" t="s">
        <v>538</v>
      </c>
      <c r="J98" s="7"/>
      <c r="K98" s="1"/>
      <c r="L98" s="9"/>
      <c r="M98" s="10"/>
      <c r="N98" s="10"/>
      <c r="O98" s="10"/>
      <c r="P98" s="10"/>
      <c r="Q98" s="10"/>
      <c r="R98" s="18"/>
      <c r="S98" s="1"/>
      <c r="T98" s="8"/>
      <c r="U98" s="1" t="s">
        <v>421</v>
      </c>
      <c r="V98" s="1"/>
      <c r="W98" s="27">
        <v>10</v>
      </c>
      <c r="X98" s="27"/>
      <c r="Y98" s="62" t="s">
        <v>12</v>
      </c>
      <c r="Z98" s="7"/>
      <c r="AA98" s="1"/>
      <c r="AB98" s="8"/>
      <c r="AC98" s="1"/>
      <c r="AD98" s="1"/>
      <c r="AE98" s="1"/>
      <c r="AF98" s="1"/>
      <c r="AG98" s="1"/>
      <c r="AH98" s="1"/>
      <c r="AI98" s="7"/>
      <c r="AJ98" s="1"/>
      <c r="AK98" s="1"/>
      <c r="AL98" s="1"/>
      <c r="AM98" s="1"/>
      <c r="AN98" s="13"/>
      <c r="AO98" s="13"/>
      <c r="AP98" s="13"/>
      <c r="AQ98" s="1"/>
      <c r="AR98" s="1"/>
      <c r="AS98" s="8"/>
      <c r="AT98" s="1" t="s">
        <v>52</v>
      </c>
      <c r="AU98" s="1"/>
      <c r="AV98" s="117" t="e">
        <f>AV94+AV96+AV82</f>
        <v>#DIV/0!</v>
      </c>
      <c r="AW98" s="1"/>
      <c r="AX98" s="1" t="s">
        <v>265</v>
      </c>
      <c r="AY98" s="7"/>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pans="1:74" x14ac:dyDescent="0.2">
      <c r="A99" s="13"/>
      <c r="B99" s="8"/>
      <c r="C99" s="61" t="s">
        <v>134</v>
      </c>
      <c r="D99" s="1"/>
      <c r="E99" s="1">
        <f>E98*E48</f>
        <v>22</v>
      </c>
      <c r="F99" s="1"/>
      <c r="G99" s="1" t="s">
        <v>187</v>
      </c>
      <c r="H99" s="1"/>
      <c r="I99" s="1" t="s">
        <v>525</v>
      </c>
      <c r="J99" s="7"/>
      <c r="K99" s="1"/>
      <c r="L99" s="13"/>
      <c r="M99" s="13"/>
      <c r="N99" s="13"/>
      <c r="O99" s="13"/>
      <c r="P99" s="13"/>
      <c r="Q99" s="13"/>
      <c r="R99" s="13"/>
      <c r="S99" s="1"/>
      <c r="T99" s="8"/>
      <c r="U99" s="1" t="s">
        <v>422</v>
      </c>
      <c r="V99" s="1"/>
      <c r="W99" s="27">
        <f>FV(W97,W98,0,-W96)</f>
        <v>1208.6161652967255</v>
      </c>
      <c r="X99" s="27"/>
      <c r="Y99" s="62" t="s">
        <v>158</v>
      </c>
      <c r="Z99" s="7"/>
      <c r="AA99" s="1"/>
      <c r="AB99" s="9"/>
      <c r="AC99" s="10"/>
      <c r="AD99" s="10"/>
      <c r="AE99" s="10"/>
      <c r="AF99" s="10"/>
      <c r="AG99" s="10"/>
      <c r="AH99" s="10"/>
      <c r="AI99" s="11"/>
      <c r="AJ99" s="1"/>
      <c r="AK99" s="1"/>
      <c r="AL99" s="1"/>
      <c r="AM99" s="1"/>
      <c r="AN99" s="13"/>
      <c r="AO99" s="13"/>
      <c r="AP99" s="13"/>
      <c r="AQ99" s="1"/>
      <c r="AR99" s="1"/>
      <c r="AS99" s="8"/>
      <c r="AT99" s="1"/>
      <c r="AU99" s="1"/>
      <c r="AV99" s="1"/>
      <c r="AW99" s="1"/>
      <c r="AX99" s="1"/>
      <c r="AY99" s="7"/>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pans="1:74" x14ac:dyDescent="0.2">
      <c r="A100" s="13"/>
      <c r="B100" s="8"/>
      <c r="C100" s="1" t="s">
        <v>13</v>
      </c>
      <c r="D100" s="1"/>
      <c r="E100" s="1">
        <f>E97*3.6/1000</f>
        <v>0</v>
      </c>
      <c r="F100" s="1"/>
      <c r="G100" s="1" t="s">
        <v>130</v>
      </c>
      <c r="H100" s="1"/>
      <c r="I100" s="1"/>
      <c r="J100" s="7"/>
      <c r="K100" s="1"/>
      <c r="L100" s="13"/>
      <c r="M100" s="13"/>
      <c r="N100" s="13"/>
      <c r="O100" s="43"/>
      <c r="P100" s="43"/>
      <c r="Q100" s="13"/>
      <c r="R100" s="13"/>
      <c r="S100" s="1"/>
      <c r="T100" s="8"/>
      <c r="U100" s="1"/>
      <c r="V100" s="1"/>
      <c r="W100" s="27"/>
      <c r="X100" s="27"/>
      <c r="Y100" s="1"/>
      <c r="Z100" s="7"/>
      <c r="AA100" s="1"/>
      <c r="AB100" s="13"/>
      <c r="AC100" s="13"/>
      <c r="AD100" s="13"/>
      <c r="AE100" s="13"/>
      <c r="AF100" s="13"/>
      <c r="AG100" s="13"/>
      <c r="AH100" s="13"/>
      <c r="AI100" s="1"/>
      <c r="AJ100" s="1"/>
      <c r="AK100" s="1"/>
      <c r="AL100" s="1"/>
      <c r="AM100" s="1"/>
      <c r="AN100" s="13"/>
      <c r="AO100" s="13"/>
      <c r="AP100" s="13"/>
      <c r="AQ100" s="1"/>
      <c r="AR100" s="1"/>
      <c r="AS100" s="9"/>
      <c r="AT100" s="10"/>
      <c r="AU100" s="10"/>
      <c r="AV100" s="10"/>
      <c r="AW100" s="10"/>
      <c r="AX100" s="10"/>
      <c r="AY100" s="11"/>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pans="1:74" x14ac:dyDescent="0.2">
      <c r="A101" s="13"/>
      <c r="B101" s="8"/>
      <c r="C101" s="1"/>
      <c r="D101" s="1"/>
      <c r="E101" s="27">
        <f>E100/0.857*Process!E52*1000</f>
        <v>0</v>
      </c>
      <c r="F101" s="1"/>
      <c r="G101" s="1" t="s">
        <v>187</v>
      </c>
      <c r="H101" s="1"/>
      <c r="I101" s="1"/>
      <c r="J101" s="7"/>
      <c r="K101" s="13"/>
      <c r="L101" s="13"/>
      <c r="M101" s="13"/>
      <c r="N101" s="13"/>
      <c r="O101" s="13"/>
      <c r="P101" s="13"/>
      <c r="Q101" s="13"/>
      <c r="R101" s="13"/>
      <c r="S101" s="1"/>
      <c r="T101" s="8"/>
      <c r="U101" s="1" t="s">
        <v>9</v>
      </c>
      <c r="V101" s="1"/>
      <c r="W101" s="27">
        <f>W99/(W91*W84)</f>
        <v>15.046270960033738</v>
      </c>
      <c r="X101" s="27"/>
      <c r="Y101" s="61" t="s">
        <v>192</v>
      </c>
      <c r="Z101" s="7"/>
      <c r="AA101" s="1"/>
      <c r="AB101" s="1"/>
      <c r="AC101" s="13"/>
      <c r="AD101" s="13"/>
      <c r="AE101" s="13"/>
      <c r="AF101" s="13"/>
      <c r="AG101" s="13"/>
      <c r="AH101" s="13"/>
      <c r="AI101" s="1"/>
      <c r="AJ101" s="1"/>
      <c r="AK101" s="13"/>
      <c r="AL101" s="13"/>
      <c r="AM101" s="13"/>
      <c r="AN101" s="13"/>
      <c r="AO101" s="13"/>
      <c r="AP101" s="19"/>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pans="1:74" x14ac:dyDescent="0.2">
      <c r="A102" s="13"/>
      <c r="B102" s="8"/>
      <c r="C102" s="1" t="s">
        <v>90</v>
      </c>
      <c r="D102" s="1"/>
      <c r="E102" s="27">
        <f>E101+E99</f>
        <v>22</v>
      </c>
      <c r="F102" s="1"/>
      <c r="G102" s="1" t="s">
        <v>187</v>
      </c>
      <c r="H102" s="1"/>
      <c r="I102" s="1"/>
      <c r="J102" s="7"/>
      <c r="K102" s="13"/>
      <c r="L102" s="13"/>
      <c r="M102" s="13"/>
      <c r="N102" s="13"/>
      <c r="O102" s="13"/>
      <c r="P102" s="13"/>
      <c r="Q102" s="13"/>
      <c r="R102" s="13"/>
      <c r="S102" s="1"/>
      <c r="T102" s="8"/>
      <c r="U102" s="1" t="s">
        <v>33</v>
      </c>
      <c r="V102" s="1"/>
      <c r="W102" s="42">
        <v>3</v>
      </c>
      <c r="X102" s="27"/>
      <c r="Y102" s="1" t="s">
        <v>102</v>
      </c>
      <c r="Z102" s="7" t="s">
        <v>268</v>
      </c>
      <c r="AA102" s="1"/>
      <c r="AB102" s="1"/>
      <c r="AC102" s="13"/>
      <c r="AD102" s="13"/>
      <c r="AE102" s="13"/>
      <c r="AF102" s="13"/>
      <c r="AG102" s="13"/>
      <c r="AH102" s="13"/>
      <c r="AI102" s="1"/>
      <c r="AJ102" s="1"/>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pans="1:74" x14ac:dyDescent="0.2">
      <c r="A103" s="13"/>
      <c r="B103" s="8"/>
      <c r="C103" s="1" t="s">
        <v>310</v>
      </c>
      <c r="D103" s="1"/>
      <c r="E103" s="12">
        <v>0</v>
      </c>
      <c r="F103" s="1"/>
      <c r="G103" s="1" t="s">
        <v>103</v>
      </c>
      <c r="H103" s="1"/>
      <c r="I103" s="1"/>
      <c r="J103" s="7"/>
      <c r="K103" s="13"/>
      <c r="L103" s="13"/>
      <c r="M103" s="13"/>
      <c r="N103" s="13"/>
      <c r="O103" s="13"/>
      <c r="P103" s="13"/>
      <c r="Q103" s="13"/>
      <c r="R103" s="13"/>
      <c r="S103" s="1"/>
      <c r="T103" s="8"/>
      <c r="U103" s="1" t="s">
        <v>33</v>
      </c>
      <c r="V103" s="1"/>
      <c r="W103" s="35">
        <f>W102/100*W96/(W91)</f>
        <v>8.3133946428571406</v>
      </c>
      <c r="X103" s="35"/>
      <c r="Y103" s="61" t="s">
        <v>192</v>
      </c>
      <c r="Z103" s="7"/>
      <c r="AA103" s="1"/>
      <c r="AB103" s="1"/>
      <c r="AC103" s="13"/>
      <c r="AD103" s="13"/>
      <c r="AE103" s="13"/>
      <c r="AF103" s="13"/>
      <c r="AG103" s="13"/>
      <c r="AH103" s="13"/>
      <c r="AI103" s="1"/>
      <c r="AJ103" s="1"/>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pans="1:74" x14ac:dyDescent="0.2">
      <c r="A104" s="13"/>
      <c r="B104" s="8"/>
      <c r="C104" s="1"/>
      <c r="D104" s="1"/>
      <c r="E104" s="27">
        <f>E109/(1/3)*(2/3)-E102</f>
        <v>33.216767009404805</v>
      </c>
      <c r="F104" s="1"/>
      <c r="G104" s="1" t="s">
        <v>187</v>
      </c>
      <c r="H104" s="1"/>
      <c r="I104" s="1"/>
      <c r="J104" s="7"/>
      <c r="K104" s="13"/>
      <c r="L104" s="13"/>
      <c r="M104" s="13"/>
      <c r="N104" s="13"/>
      <c r="O104" s="13"/>
      <c r="P104" s="13"/>
      <c r="Q104" s="13"/>
      <c r="R104" s="13"/>
      <c r="S104" s="1"/>
      <c r="T104" s="8"/>
      <c r="U104" s="1"/>
      <c r="V104" s="1"/>
      <c r="W104" s="1"/>
      <c r="X104" s="28"/>
      <c r="Y104" s="61"/>
      <c r="Z104" s="7"/>
      <c r="AA104" s="1"/>
      <c r="AB104" s="1"/>
      <c r="AC104" s="1"/>
      <c r="AD104" s="1"/>
      <c r="AE104" s="27"/>
      <c r="AF104" s="1"/>
      <c r="AG104" s="1"/>
      <c r="AH104" s="1"/>
      <c r="AI104" s="1"/>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pans="1:74" x14ac:dyDescent="0.2">
      <c r="A105" s="13"/>
      <c r="B105" s="8"/>
      <c r="C105" s="1" t="s">
        <v>311</v>
      </c>
      <c r="D105" s="1"/>
      <c r="E105" s="1">
        <v>0</v>
      </c>
      <c r="F105" s="1"/>
      <c r="G105" s="1" t="s">
        <v>187</v>
      </c>
      <c r="H105" s="1"/>
      <c r="I105" s="1" t="s">
        <v>537</v>
      </c>
      <c r="J105" s="7"/>
      <c r="K105" s="13"/>
      <c r="L105" s="13"/>
      <c r="M105" s="13"/>
      <c r="N105" s="13"/>
      <c r="O105" s="27"/>
      <c r="P105" s="27"/>
      <c r="Q105" s="13"/>
      <c r="R105" s="13"/>
      <c r="S105" s="1"/>
      <c r="T105" s="8"/>
      <c r="U105" s="1"/>
      <c r="V105" s="1"/>
      <c r="W105" s="27"/>
      <c r="X105" s="27"/>
      <c r="Y105" s="1"/>
      <c r="Z105" s="7"/>
      <c r="AA105" s="1"/>
      <c r="AB105" s="1"/>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pans="1:74" x14ac:dyDescent="0.2">
      <c r="A106" s="13"/>
      <c r="B106" s="8"/>
      <c r="C106" s="1" t="s">
        <v>420</v>
      </c>
      <c r="D106" s="1"/>
      <c r="E106" s="27">
        <f>$AR$29</f>
        <v>0.05</v>
      </c>
      <c r="F106" s="27"/>
      <c r="G106" s="62"/>
      <c r="H106" s="13"/>
      <c r="I106" s="23"/>
      <c r="J106" s="7"/>
      <c r="K106" s="13"/>
      <c r="L106" s="13"/>
      <c r="M106" s="13"/>
      <c r="N106" s="13"/>
      <c r="O106" s="27"/>
      <c r="P106" s="27"/>
      <c r="Q106" s="13"/>
      <c r="R106" s="13"/>
      <c r="S106" s="1"/>
      <c r="T106" s="8"/>
      <c r="U106" s="1" t="s">
        <v>137</v>
      </c>
      <c r="V106" s="1"/>
      <c r="W106" s="87">
        <f>W103+W101+W88</f>
        <v>159.44961269283795</v>
      </c>
      <c r="X106" s="29"/>
      <c r="Y106" s="61" t="s">
        <v>192</v>
      </c>
      <c r="Z106" s="7"/>
      <c r="AA106" s="1"/>
      <c r="AB106" s="1"/>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pans="1:74" x14ac:dyDescent="0.2">
      <c r="A107" s="13"/>
      <c r="B107" s="8"/>
      <c r="C107" s="1" t="s">
        <v>421</v>
      </c>
      <c r="D107" s="1"/>
      <c r="E107" s="27">
        <v>10</v>
      </c>
      <c r="F107" s="27"/>
      <c r="G107" s="62" t="s">
        <v>12</v>
      </c>
      <c r="H107" s="13"/>
      <c r="I107" s="13"/>
      <c r="J107" s="7"/>
      <c r="K107" s="13"/>
      <c r="L107" s="13"/>
      <c r="M107" s="13"/>
      <c r="N107" s="13"/>
      <c r="O107" s="27"/>
      <c r="P107" s="27"/>
      <c r="Q107" s="13"/>
      <c r="R107" s="13"/>
      <c r="S107" s="1"/>
      <c r="T107" s="9"/>
      <c r="U107" s="10"/>
      <c r="V107" s="10"/>
      <c r="W107" s="40"/>
      <c r="X107" s="40"/>
      <c r="Y107" s="10"/>
      <c r="Z107" s="11"/>
      <c r="AA107" s="1"/>
      <c r="AB107" s="1"/>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pans="1:74" x14ac:dyDescent="0.2">
      <c r="A108" s="13"/>
      <c r="B108" s="8"/>
      <c r="C108" s="1" t="s">
        <v>422</v>
      </c>
      <c r="D108" s="1"/>
      <c r="E108" s="27">
        <f>FV(E106,E107,0,-E95)</f>
        <v>814.44731338872077</v>
      </c>
      <c r="F108" s="27"/>
      <c r="G108" s="62" t="s">
        <v>372</v>
      </c>
      <c r="H108" s="13"/>
      <c r="I108" s="13"/>
      <c r="J108" s="7"/>
      <c r="K108" s="13"/>
      <c r="L108" s="13"/>
      <c r="M108" s="13"/>
      <c r="N108" s="13"/>
      <c r="O108" s="27"/>
      <c r="P108" s="27"/>
      <c r="Q108" s="13"/>
      <c r="R108" s="13"/>
      <c r="S108" s="1"/>
      <c r="T108" s="3"/>
      <c r="U108" s="4"/>
      <c r="V108" s="4"/>
      <c r="W108" s="4"/>
      <c r="X108" s="4"/>
      <c r="Y108" s="4"/>
      <c r="Z108" s="5"/>
      <c r="AA108" s="1"/>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pans="1:74" x14ac:dyDescent="0.2">
      <c r="A109" s="13"/>
      <c r="B109" s="8"/>
      <c r="C109" s="1" t="s">
        <v>312</v>
      </c>
      <c r="D109" s="1"/>
      <c r="E109" s="27">
        <f>E108/E96/1.18</f>
        <v>27.608383504702402</v>
      </c>
      <c r="F109" s="1"/>
      <c r="G109" s="1" t="s">
        <v>187</v>
      </c>
      <c r="H109" s="1"/>
      <c r="I109" s="1" t="s">
        <v>536</v>
      </c>
      <c r="J109" s="7"/>
      <c r="K109" s="13"/>
      <c r="L109" s="13"/>
      <c r="M109" s="13"/>
      <c r="N109" s="13"/>
      <c r="O109" s="27"/>
      <c r="P109" s="27"/>
      <c r="Q109" s="13"/>
      <c r="R109" s="13"/>
      <c r="S109" s="1"/>
      <c r="T109" s="8"/>
      <c r="U109" s="2" t="s">
        <v>543</v>
      </c>
      <c r="V109" s="2"/>
      <c r="W109" s="27"/>
      <c r="X109" s="27"/>
      <c r="Y109" s="1"/>
      <c r="Z109" s="7"/>
      <c r="AA109" s="1"/>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pans="1:74" x14ac:dyDescent="0.2">
      <c r="A110" s="13"/>
      <c r="B110" s="8"/>
      <c r="C110" s="1"/>
      <c r="D110" s="1"/>
      <c r="E110" s="27"/>
      <c r="F110" s="1"/>
      <c r="G110" s="1"/>
      <c r="H110" s="1"/>
      <c r="I110" s="1"/>
      <c r="J110" s="7"/>
      <c r="K110" s="13"/>
      <c r="L110" s="13"/>
      <c r="M110" s="13"/>
      <c r="N110" s="13"/>
      <c r="O110" s="27"/>
      <c r="P110" s="27"/>
      <c r="Q110" s="13"/>
      <c r="R110" s="13"/>
      <c r="S110" s="1"/>
      <c r="T110" s="8"/>
      <c r="U110" s="2"/>
      <c r="V110" s="2"/>
      <c r="W110" s="27"/>
      <c r="X110" s="27"/>
      <c r="Y110" s="1"/>
      <c r="Z110" s="7"/>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pans="1:74" x14ac:dyDescent="0.2">
      <c r="A111" s="13"/>
      <c r="B111" s="8"/>
      <c r="C111" s="1" t="s">
        <v>137</v>
      </c>
      <c r="D111" s="1"/>
      <c r="E111" s="116">
        <f>E109+E105+E104+E102</f>
        <v>82.825150514107207</v>
      </c>
      <c r="F111" s="1"/>
      <c r="G111" s="1" t="s">
        <v>187</v>
      </c>
      <c r="H111" s="1"/>
      <c r="I111" s="1"/>
      <c r="J111" s="7"/>
      <c r="K111" s="13"/>
      <c r="L111" s="1"/>
      <c r="M111" s="1"/>
      <c r="N111" s="1"/>
      <c r="O111" s="27"/>
      <c r="P111" s="27"/>
      <c r="Q111" s="1"/>
      <c r="R111" s="1"/>
      <c r="S111" s="1"/>
      <c r="T111" s="8"/>
      <c r="U111" s="1" t="s">
        <v>79</v>
      </c>
      <c r="V111" s="1"/>
      <c r="W111" s="42">
        <v>0.95</v>
      </c>
      <c r="X111" s="27"/>
      <c r="Y111" s="1"/>
      <c r="Z111" s="7" t="s">
        <v>80</v>
      </c>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pans="1:74" x14ac:dyDescent="0.2">
      <c r="A112" s="13"/>
      <c r="B112" s="8"/>
      <c r="C112" s="1"/>
      <c r="D112" s="1"/>
      <c r="E112" s="1"/>
      <c r="F112" s="1"/>
      <c r="G112" s="1"/>
      <c r="H112" s="1"/>
      <c r="I112" s="1"/>
      <c r="J112" s="7"/>
      <c r="K112" s="13"/>
      <c r="L112" s="1"/>
      <c r="M112" s="1"/>
      <c r="N112" s="1"/>
      <c r="O112" s="27"/>
      <c r="P112" s="27"/>
      <c r="Q112" s="1"/>
      <c r="R112" s="1"/>
      <c r="S112" s="13"/>
      <c r="T112" s="8"/>
      <c r="U112" s="1"/>
      <c r="V112" s="1"/>
      <c r="W112" s="27">
        <f>G22</f>
        <v>4.2099908289341794</v>
      </c>
      <c r="X112" s="27"/>
      <c r="Y112" s="1" t="s">
        <v>98</v>
      </c>
      <c r="Z112" s="7"/>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4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pans="1:74" x14ac:dyDescent="0.2">
      <c r="A113" s="13"/>
      <c r="B113" s="9"/>
      <c r="C113" s="10"/>
      <c r="D113" s="10"/>
      <c r="E113" s="10"/>
      <c r="F113" s="10"/>
      <c r="G113" s="10"/>
      <c r="H113" s="10"/>
      <c r="I113" s="10"/>
      <c r="J113" s="11"/>
      <c r="K113" s="13"/>
      <c r="L113" s="1"/>
      <c r="M113" s="1"/>
      <c r="N113" s="1"/>
      <c r="O113" s="27"/>
      <c r="P113" s="27"/>
      <c r="Q113" s="1"/>
      <c r="R113" s="1"/>
      <c r="S113" s="13"/>
      <c r="T113" s="8"/>
      <c r="U113" s="1"/>
      <c r="V113" s="1"/>
      <c r="W113" s="27">
        <f>G22*$AR$7/$AR$8*W111</f>
        <v>2.545130819310208</v>
      </c>
      <c r="X113" s="27"/>
      <c r="Y113" s="1" t="s">
        <v>97</v>
      </c>
      <c r="Z113" s="7"/>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4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pans="1:74" x14ac:dyDescent="0.2">
      <c r="A114" s="13"/>
      <c r="C114" s="13"/>
      <c r="D114" s="13"/>
      <c r="E114" s="13"/>
      <c r="F114" s="13"/>
      <c r="G114" s="13"/>
      <c r="H114" s="13"/>
      <c r="I114" s="13"/>
      <c r="J114" s="13"/>
      <c r="K114" s="13"/>
      <c r="L114" s="1"/>
      <c r="M114" s="1"/>
      <c r="N114" s="1"/>
      <c r="O114" s="27"/>
      <c r="P114" s="27"/>
      <c r="Q114" s="1"/>
      <c r="R114" s="1"/>
      <c r="S114" s="13"/>
      <c r="T114" s="8"/>
      <c r="U114" s="1"/>
      <c r="V114" s="1"/>
      <c r="W114" s="27"/>
      <c r="X114" s="27"/>
      <c r="Y114" s="1"/>
      <c r="Z114" s="7"/>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4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pans="1:74" x14ac:dyDescent="0.2">
      <c r="A115" s="13"/>
      <c r="C115" s="13"/>
      <c r="D115" s="13"/>
      <c r="E115" s="13"/>
      <c r="F115" s="13"/>
      <c r="G115" s="13"/>
      <c r="H115" s="13"/>
      <c r="I115" s="13"/>
      <c r="J115" s="13"/>
      <c r="K115" s="13"/>
      <c r="L115" s="1"/>
      <c r="M115" s="1"/>
      <c r="N115" s="1"/>
      <c r="O115" s="27"/>
      <c r="P115" s="27"/>
      <c r="Q115" s="1"/>
      <c r="R115" s="1"/>
      <c r="S115" s="13"/>
      <c r="T115" s="8"/>
      <c r="U115" s="1" t="s">
        <v>9</v>
      </c>
      <c r="V115" s="1"/>
      <c r="W115" s="115">
        <v>7</v>
      </c>
      <c r="X115" s="28"/>
      <c r="Y115" s="1" t="s">
        <v>158</v>
      </c>
      <c r="Z115" s="7" t="s">
        <v>115</v>
      </c>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4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pans="1:74" x14ac:dyDescent="0.2">
      <c r="A116" s="13"/>
      <c r="C116" s="13"/>
      <c r="D116" s="13"/>
      <c r="E116" s="13"/>
      <c r="F116" s="13"/>
      <c r="G116" s="13"/>
      <c r="H116" s="13"/>
      <c r="I116" s="13"/>
      <c r="J116" s="13"/>
      <c r="K116" s="13"/>
      <c r="L116" s="1"/>
      <c r="M116" s="1"/>
      <c r="N116" s="1"/>
      <c r="O116" s="27"/>
      <c r="P116" s="27"/>
      <c r="Q116" s="1"/>
      <c r="R116" s="1"/>
      <c r="S116" s="13"/>
      <c r="T116" s="8"/>
      <c r="U116" s="1" t="s">
        <v>105</v>
      </c>
      <c r="V116" s="1"/>
      <c r="W116" s="27">
        <v>1.9</v>
      </c>
      <c r="X116" s="27"/>
      <c r="Y116" s="1" t="s">
        <v>106</v>
      </c>
      <c r="Z116" s="50" t="s">
        <v>585</v>
      </c>
      <c r="AA116" s="13"/>
      <c r="AB116" s="13"/>
      <c r="AC116" s="13"/>
      <c r="AD116" s="13"/>
      <c r="AE116" s="43"/>
      <c r="AF116" s="13"/>
      <c r="AG116" s="1"/>
      <c r="AH116" s="1"/>
      <c r="AI116" s="1"/>
      <c r="AJ116" s="13"/>
      <c r="AK116" s="13"/>
      <c r="AL116" s="13"/>
      <c r="AM116" s="13"/>
      <c r="AN116" s="13"/>
      <c r="AO116" s="13"/>
      <c r="AP116" s="13"/>
      <c r="AQ116" s="13"/>
      <c r="AR116" s="13"/>
      <c r="AS116" s="13"/>
      <c r="AT116" s="13"/>
      <c r="AU116" s="13"/>
      <c r="AV116" s="4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pans="1:74" x14ac:dyDescent="0.2">
      <c r="A117" s="13"/>
      <c r="C117" s="13" t="s">
        <v>9</v>
      </c>
      <c r="D117" s="13"/>
      <c r="E117" s="13">
        <f>801+30</f>
        <v>831</v>
      </c>
      <c r="F117" s="13"/>
      <c r="G117" s="13"/>
      <c r="H117" s="13"/>
      <c r="I117" s="13"/>
      <c r="J117" s="13"/>
      <c r="K117" s="13"/>
      <c r="L117" s="1"/>
      <c r="M117" s="1"/>
      <c r="N117" s="1"/>
      <c r="O117" s="27"/>
      <c r="P117" s="27"/>
      <c r="Q117" s="1"/>
      <c r="R117" s="1"/>
      <c r="S117" s="13"/>
      <c r="T117" s="8"/>
      <c r="U117" s="1"/>
      <c r="V117" s="1"/>
      <c r="W117" s="27"/>
      <c r="X117" s="27"/>
      <c r="Y117" s="1"/>
      <c r="Z117" s="92"/>
      <c r="AA117" s="13"/>
      <c r="AB117" s="13"/>
      <c r="AC117" s="13"/>
      <c r="AD117" s="13"/>
      <c r="AE117" s="43"/>
      <c r="AF117" s="13"/>
      <c r="AG117" s="1"/>
      <c r="AH117" s="1"/>
      <c r="AI117" s="1"/>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pans="1:74" x14ac:dyDescent="0.2">
      <c r="A118" s="13"/>
      <c r="C118" s="1" t="s">
        <v>420</v>
      </c>
      <c r="D118" s="1"/>
      <c r="E118" s="27">
        <f>$AR$29</f>
        <v>0.05</v>
      </c>
      <c r="F118" s="13"/>
      <c r="G118" s="13"/>
      <c r="H118" s="13"/>
      <c r="I118" s="13"/>
      <c r="J118" s="13"/>
      <c r="K118" s="1"/>
      <c r="L118" s="1"/>
      <c r="M118" s="1"/>
      <c r="N118" s="1"/>
      <c r="O118" s="27"/>
      <c r="P118" s="27"/>
      <c r="Q118" s="1"/>
      <c r="R118" s="1"/>
      <c r="S118" s="13"/>
      <c r="T118" s="8"/>
      <c r="U118" s="1" t="s">
        <v>107</v>
      </c>
      <c r="V118" s="1"/>
      <c r="W118" s="27">
        <f>W113</f>
        <v>2.545130819310208</v>
      </c>
      <c r="X118" s="27"/>
      <c r="Y118" s="1" t="s">
        <v>108</v>
      </c>
      <c r="Z118" s="7"/>
      <c r="AA118" s="13"/>
      <c r="AB118" s="13"/>
      <c r="AC118" s="13"/>
      <c r="AD118" s="13"/>
      <c r="AE118" s="43"/>
      <c r="AF118" s="13"/>
      <c r="AG118" s="1"/>
      <c r="AH118" s="1"/>
      <c r="AI118" s="1"/>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pans="1:74" x14ac:dyDescent="0.2">
      <c r="A119" s="13"/>
      <c r="C119" s="1" t="s">
        <v>421</v>
      </c>
      <c r="D119" s="1"/>
      <c r="E119" s="27">
        <v>10</v>
      </c>
      <c r="F119" s="13"/>
      <c r="G119" s="13"/>
      <c r="H119" s="13"/>
      <c r="I119" s="13"/>
      <c r="J119" s="13"/>
      <c r="K119" s="1"/>
      <c r="L119" s="1"/>
      <c r="M119" s="1"/>
      <c r="N119" s="1"/>
      <c r="O119" s="27"/>
      <c r="P119" s="27"/>
      <c r="Q119" s="1"/>
      <c r="R119" s="1"/>
      <c r="S119" s="13"/>
      <c r="T119" s="8"/>
      <c r="U119" s="1" t="s">
        <v>10</v>
      </c>
      <c r="V119" s="1"/>
      <c r="W119" s="42">
        <v>8000</v>
      </c>
      <c r="X119" s="27"/>
      <c r="Y119" s="1" t="s">
        <v>14</v>
      </c>
      <c r="Z119" s="7"/>
      <c r="AA119" s="13"/>
      <c r="AB119" s="13"/>
      <c r="AC119" s="13"/>
      <c r="AD119" s="13"/>
      <c r="AE119" s="13"/>
      <c r="AF119" s="13"/>
      <c r="AG119" s="1"/>
      <c r="AH119" s="1"/>
      <c r="AI119" s="1"/>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pans="1:74" x14ac:dyDescent="0.2">
      <c r="A120" s="13"/>
      <c r="C120" s="1" t="s">
        <v>422</v>
      </c>
      <c r="D120" s="1"/>
      <c r="E120" s="27">
        <f>FV(E118,E119,0,-E117)</f>
        <v>1353.6114348520539</v>
      </c>
      <c r="F120" s="13"/>
      <c r="G120" s="13" t="s">
        <v>158</v>
      </c>
      <c r="H120" s="13"/>
      <c r="I120" s="13"/>
      <c r="J120" s="13"/>
      <c r="K120" s="1"/>
      <c r="L120" s="1"/>
      <c r="M120" s="1"/>
      <c r="N120" s="1"/>
      <c r="O120" s="27"/>
      <c r="P120" s="27"/>
      <c r="Q120" s="1"/>
      <c r="R120" s="1"/>
      <c r="S120" s="13"/>
      <c r="T120" s="8"/>
      <c r="U120" s="1"/>
      <c r="V120" s="1"/>
      <c r="W120" s="42">
        <f>W118/(W119*3600)*1000000000</f>
        <v>88.372597892715547</v>
      </c>
      <c r="X120" s="27"/>
      <c r="Y120" s="1" t="s">
        <v>106</v>
      </c>
      <c r="Z120" s="7" t="s">
        <v>586</v>
      </c>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pans="1:74" x14ac:dyDescent="0.2">
      <c r="A121" s="13"/>
      <c r="C121" s="13" t="s">
        <v>641</v>
      </c>
      <c r="D121" s="13"/>
      <c r="E121" s="13">
        <f>E117*5/100</f>
        <v>41.55</v>
      </c>
      <c r="F121" s="13"/>
      <c r="G121" s="13" t="s">
        <v>157</v>
      </c>
      <c r="H121" s="13"/>
      <c r="I121" s="13"/>
      <c r="J121" s="13"/>
      <c r="K121" s="1"/>
      <c r="L121" s="1"/>
      <c r="M121" s="1"/>
      <c r="N121" s="1"/>
      <c r="O121" s="27"/>
      <c r="P121" s="27"/>
      <c r="Q121" s="1"/>
      <c r="R121" s="1"/>
      <c r="S121" s="13"/>
      <c r="T121" s="8"/>
      <c r="U121" s="1"/>
      <c r="V121" s="1"/>
      <c r="W121" s="27"/>
      <c r="X121" s="27"/>
      <c r="Y121" s="1"/>
      <c r="Z121" s="7"/>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pans="1:74" x14ac:dyDescent="0.2">
      <c r="A122" s="13"/>
      <c r="C122" s="13" t="s">
        <v>11</v>
      </c>
      <c r="D122" s="13"/>
      <c r="E122" s="13">
        <v>40</v>
      </c>
      <c r="F122" s="13"/>
      <c r="G122" s="13"/>
      <c r="H122" s="13"/>
      <c r="I122" s="13"/>
      <c r="J122" s="13"/>
      <c r="K122" s="1"/>
      <c r="L122" s="1"/>
      <c r="M122" s="1"/>
      <c r="N122" s="1"/>
      <c r="O122" s="27"/>
      <c r="P122" s="27"/>
      <c r="Q122" s="1"/>
      <c r="R122" s="1"/>
      <c r="S122" s="13"/>
      <c r="T122" s="8"/>
      <c r="U122" s="1" t="s">
        <v>587</v>
      </c>
      <c r="V122" s="1"/>
      <c r="W122" s="27"/>
      <c r="X122" s="27"/>
      <c r="Y122" s="1"/>
      <c r="Z122" s="7"/>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pans="1:74" x14ac:dyDescent="0.2">
      <c r="A123" s="13"/>
      <c r="C123" s="13" t="s">
        <v>28</v>
      </c>
      <c r="D123" s="13"/>
      <c r="E123" s="13">
        <f>E120/E122+E121</f>
        <v>75.390285871301344</v>
      </c>
      <c r="F123" s="13"/>
      <c r="G123" s="13" t="s">
        <v>157</v>
      </c>
      <c r="H123" s="13"/>
      <c r="I123" s="13"/>
      <c r="J123" s="13"/>
      <c r="K123" s="1"/>
      <c r="L123" s="1"/>
      <c r="M123" s="1"/>
      <c r="N123" s="1"/>
      <c r="O123" s="27"/>
      <c r="P123" s="27"/>
      <c r="Q123" s="1"/>
      <c r="R123" s="1"/>
      <c r="S123" s="13"/>
      <c r="T123" s="8"/>
      <c r="U123" s="1"/>
      <c r="V123" s="1"/>
      <c r="W123" s="27">
        <f>W120/W116</f>
        <v>46.511893627745025</v>
      </c>
      <c r="X123" s="27"/>
      <c r="Y123" s="1" t="s">
        <v>104</v>
      </c>
      <c r="Z123" s="7"/>
      <c r="AA123" s="1"/>
      <c r="AB123" s="13"/>
      <c r="AC123" s="13"/>
      <c r="AD123" s="13"/>
      <c r="AE123" s="13"/>
      <c r="AF123" s="13"/>
      <c r="AG123" s="13"/>
      <c r="AH123" s="13"/>
      <c r="AI123" s="13"/>
      <c r="AJ123" s="13"/>
      <c r="AK123" s="13"/>
      <c r="AL123" s="13"/>
      <c r="AM123" s="13"/>
      <c r="AN123" s="13"/>
      <c r="AO123" s="13"/>
      <c r="AP123" s="13"/>
      <c r="AQ123" s="13"/>
      <c r="AR123" s="13"/>
      <c r="AS123" s="13"/>
      <c r="AT123" s="13"/>
      <c r="AU123" s="13"/>
      <c r="AV123" s="4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pans="1:74" x14ac:dyDescent="0.2">
      <c r="A124" s="13"/>
      <c r="C124" s="13"/>
      <c r="D124" s="13"/>
      <c r="E124" s="13"/>
      <c r="F124" s="13"/>
      <c r="G124" s="13"/>
      <c r="H124" s="13"/>
      <c r="I124" s="13"/>
      <c r="J124" s="13"/>
      <c r="K124" s="1"/>
      <c r="L124" s="1"/>
      <c r="M124" s="1"/>
      <c r="N124" s="1"/>
      <c r="O124" s="27"/>
      <c r="P124" s="27"/>
      <c r="Q124" s="1"/>
      <c r="R124" s="1"/>
      <c r="S124" s="13"/>
      <c r="T124" s="8"/>
      <c r="U124" s="1" t="s">
        <v>9</v>
      </c>
      <c r="V124" s="1"/>
      <c r="W124" s="27">
        <f>W123*W115</f>
        <v>325.58325539421514</v>
      </c>
      <c r="X124" s="27"/>
      <c r="Y124" s="1" t="s">
        <v>158</v>
      </c>
      <c r="Z124" s="7"/>
      <c r="AA124" s="1"/>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pans="1:74" x14ac:dyDescent="0.2">
      <c r="A125" s="13"/>
      <c r="C125" s="13"/>
      <c r="D125" s="13"/>
      <c r="E125" s="13"/>
      <c r="F125" s="13"/>
      <c r="G125" s="13"/>
      <c r="H125" s="13"/>
      <c r="I125" s="13"/>
      <c r="J125" s="13"/>
      <c r="K125" s="1"/>
      <c r="L125" s="1"/>
      <c r="M125" s="1"/>
      <c r="N125" s="1"/>
      <c r="O125" s="27"/>
      <c r="P125" s="27"/>
      <c r="Q125" s="1"/>
      <c r="R125" s="1"/>
      <c r="S125" s="13"/>
      <c r="T125" s="8"/>
      <c r="U125" s="1" t="s">
        <v>420</v>
      </c>
      <c r="V125" s="1"/>
      <c r="W125" s="27">
        <f>$AR$29</f>
        <v>0.05</v>
      </c>
      <c r="X125" s="27"/>
      <c r="Y125" s="62"/>
      <c r="Z125" s="7"/>
      <c r="AA125" s="1"/>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pans="1:74" x14ac:dyDescent="0.2">
      <c r="A126" s="13"/>
      <c r="C126" s="13"/>
      <c r="D126" s="13"/>
      <c r="E126" s="13"/>
      <c r="F126" s="13"/>
      <c r="G126" s="13"/>
      <c r="H126" s="13"/>
      <c r="I126" s="13"/>
      <c r="J126" s="13"/>
      <c r="K126" s="1"/>
      <c r="L126" s="1"/>
      <c r="M126" s="1"/>
      <c r="N126" s="1"/>
      <c r="O126" s="27"/>
      <c r="P126" s="27"/>
      <c r="Q126" s="1"/>
      <c r="R126" s="1"/>
      <c r="S126" s="13"/>
      <c r="T126" s="8"/>
      <c r="U126" s="1" t="s">
        <v>421</v>
      </c>
      <c r="V126" s="1"/>
      <c r="W126" s="27">
        <v>10</v>
      </c>
      <c r="X126" s="27"/>
      <c r="Y126" s="62" t="s">
        <v>12</v>
      </c>
      <c r="Z126" s="7"/>
      <c r="AA126" s="1"/>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pans="1:74" x14ac:dyDescent="0.2">
      <c r="A127" s="13"/>
      <c r="C127" s="13"/>
      <c r="D127" s="13"/>
      <c r="E127" s="13"/>
      <c r="F127" s="13"/>
      <c r="G127" s="13"/>
      <c r="H127" s="13"/>
      <c r="I127" s="13"/>
      <c r="J127" s="13"/>
      <c r="K127" s="1"/>
      <c r="L127" s="1"/>
      <c r="M127" s="1"/>
      <c r="N127" s="1"/>
      <c r="O127" s="27"/>
      <c r="P127" s="27"/>
      <c r="Q127" s="1"/>
      <c r="R127" s="1"/>
      <c r="S127" s="13"/>
      <c r="T127" s="8"/>
      <c r="U127" s="1" t="s">
        <v>422</v>
      </c>
      <c r="V127" s="1"/>
      <c r="W127" s="27">
        <f>FV(W125,W126,0,-W124)</f>
        <v>530.34081528034449</v>
      </c>
      <c r="X127" s="27"/>
      <c r="Y127" s="62" t="s">
        <v>158</v>
      </c>
      <c r="Z127" s="7"/>
      <c r="AA127" s="1"/>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pans="1:74" x14ac:dyDescent="0.2">
      <c r="A128" s="13"/>
      <c r="C128" s="13"/>
      <c r="D128" s="13"/>
      <c r="E128" s="13"/>
      <c r="F128" s="13"/>
      <c r="G128" s="13"/>
      <c r="H128" s="13"/>
      <c r="I128" s="13"/>
      <c r="J128" s="13"/>
      <c r="K128" s="1"/>
      <c r="L128" s="1"/>
      <c r="M128" s="1"/>
      <c r="N128" s="1"/>
      <c r="O128" s="27"/>
      <c r="P128" s="27"/>
      <c r="Q128" s="1"/>
      <c r="R128" s="1"/>
      <c r="S128" s="13"/>
      <c r="T128" s="8"/>
      <c r="U128" s="1" t="s">
        <v>11</v>
      </c>
      <c r="V128" s="1"/>
      <c r="W128" s="42">
        <v>10</v>
      </c>
      <c r="X128" s="27"/>
      <c r="Y128" s="1" t="s">
        <v>12</v>
      </c>
      <c r="Z128" s="7" t="s">
        <v>115</v>
      </c>
      <c r="AA128" s="1"/>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pans="1:74" x14ac:dyDescent="0.2">
      <c r="A129" s="13"/>
      <c r="C129" s="13"/>
      <c r="D129" s="13"/>
      <c r="E129" s="13"/>
      <c r="F129" s="13"/>
      <c r="G129" s="13"/>
      <c r="H129" s="13"/>
      <c r="I129" s="13"/>
      <c r="J129" s="13"/>
      <c r="K129" s="1"/>
      <c r="L129" s="1"/>
      <c r="M129" s="1"/>
      <c r="N129" s="1"/>
      <c r="O129" s="27"/>
      <c r="P129" s="27"/>
      <c r="Q129" s="1"/>
      <c r="R129" s="1"/>
      <c r="S129" s="13"/>
      <c r="T129" s="8"/>
      <c r="U129" s="1" t="s">
        <v>81</v>
      </c>
      <c r="V129" s="1"/>
      <c r="W129" s="29">
        <f>W127/(W118*W128)</f>
        <v>20.83746781330791</v>
      </c>
      <c r="X129" s="29"/>
      <c r="Y129" s="61" t="s">
        <v>192</v>
      </c>
      <c r="Z129" s="7"/>
      <c r="AA129" s="1"/>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pans="1:74" x14ac:dyDescent="0.2">
      <c r="A130" s="13"/>
      <c r="C130" s="13"/>
      <c r="D130" s="13"/>
      <c r="E130" s="13"/>
      <c r="F130" s="13"/>
      <c r="G130" s="13"/>
      <c r="H130" s="13"/>
      <c r="I130" s="13"/>
      <c r="J130" s="13"/>
      <c r="K130" s="1"/>
      <c r="L130" s="1"/>
      <c r="M130" s="1"/>
      <c r="N130" s="1"/>
      <c r="O130" s="27"/>
      <c r="P130" s="27"/>
      <c r="Q130" s="1"/>
      <c r="R130" s="1"/>
      <c r="S130" s="13"/>
      <c r="T130" s="8"/>
      <c r="U130" s="1"/>
      <c r="V130" s="1"/>
      <c r="W130" s="27"/>
      <c r="X130" s="27"/>
      <c r="Y130" s="1"/>
      <c r="Z130" s="7"/>
      <c r="AA130" s="1"/>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pans="1:74" x14ac:dyDescent="0.2">
      <c r="A131" s="13"/>
      <c r="C131" s="13"/>
      <c r="D131" s="13"/>
      <c r="E131" s="13"/>
      <c r="F131" s="13"/>
      <c r="G131" s="13"/>
      <c r="H131" s="13"/>
      <c r="I131" s="13"/>
      <c r="J131" s="13"/>
      <c r="K131" s="1"/>
      <c r="L131" s="1"/>
      <c r="M131" s="1"/>
      <c r="N131" s="1"/>
      <c r="O131" s="27"/>
      <c r="P131" s="27"/>
      <c r="Q131" s="1"/>
      <c r="R131" s="1"/>
      <c r="S131" s="13"/>
      <c r="T131" s="8"/>
      <c r="U131" s="1" t="s">
        <v>91</v>
      </c>
      <c r="V131" s="1"/>
      <c r="W131" s="42">
        <v>3</v>
      </c>
      <c r="X131" s="27"/>
      <c r="Y131" s="1" t="s">
        <v>83</v>
      </c>
      <c r="Z131" s="7" t="s">
        <v>115</v>
      </c>
      <c r="AA131" s="1"/>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pans="1:74" x14ac:dyDescent="0.2">
      <c r="A132" s="13"/>
      <c r="C132" s="13"/>
      <c r="D132" s="13"/>
      <c r="E132" s="13"/>
      <c r="F132" s="13"/>
      <c r="G132" s="13"/>
      <c r="H132" s="13"/>
      <c r="I132" s="13"/>
      <c r="J132" s="13"/>
      <c r="K132" s="1"/>
      <c r="L132" s="13"/>
      <c r="M132" s="13"/>
      <c r="N132" s="13"/>
      <c r="O132" s="27"/>
      <c r="P132" s="27"/>
      <c r="Q132" s="13"/>
      <c r="R132" s="13"/>
      <c r="S132" s="13"/>
      <c r="T132" s="8"/>
      <c r="U132" s="1" t="s">
        <v>91</v>
      </c>
      <c r="V132" s="1"/>
      <c r="W132" s="29">
        <f>W131/100*W124/W118</f>
        <v>3.837719298245613</v>
      </c>
      <c r="X132" s="29"/>
      <c r="Y132" s="61" t="s">
        <v>192</v>
      </c>
      <c r="Z132" s="7"/>
      <c r="AA132" s="1"/>
      <c r="AB132" s="13"/>
      <c r="AC132" s="13"/>
      <c r="AD132" s="13"/>
      <c r="AE132" s="13"/>
      <c r="AF132" s="13"/>
      <c r="AG132" s="13"/>
      <c r="AH132" s="13"/>
      <c r="AI132" s="13"/>
      <c r="AJ132" s="13"/>
      <c r="AK132" s="13"/>
      <c r="AL132" s="13"/>
      <c r="AM132" s="13"/>
      <c r="AN132" s="13"/>
      <c r="AO132" s="13"/>
      <c r="AP132" s="13"/>
      <c r="AQ132" s="13"/>
      <c r="AR132" s="13"/>
      <c r="AS132" s="13"/>
      <c r="AT132" s="13"/>
      <c r="AU132" s="13"/>
      <c r="AV132" s="4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pans="1:74" x14ac:dyDescent="0.2">
      <c r="A133" s="13"/>
      <c r="C133" s="13"/>
      <c r="D133" s="13"/>
      <c r="E133" s="13"/>
      <c r="F133" s="13"/>
      <c r="G133" s="13"/>
      <c r="H133" s="13"/>
      <c r="I133" s="13"/>
      <c r="J133" s="13"/>
      <c r="K133" s="1"/>
      <c r="L133" s="13"/>
      <c r="M133" s="13"/>
      <c r="N133" s="13"/>
      <c r="O133" s="43"/>
      <c r="P133" s="13"/>
      <c r="Q133" s="13"/>
      <c r="R133" s="13"/>
      <c r="S133" s="13"/>
      <c r="T133" s="8"/>
      <c r="U133" s="1"/>
      <c r="V133" s="1"/>
      <c r="W133" s="27"/>
      <c r="X133" s="27"/>
      <c r="Y133" s="1"/>
      <c r="Z133" s="7"/>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4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pans="1:74" x14ac:dyDescent="0.2">
      <c r="A134" s="13"/>
      <c r="C134" s="13"/>
      <c r="D134" s="13"/>
      <c r="E134" s="13"/>
      <c r="F134" s="13"/>
      <c r="G134" s="13"/>
      <c r="H134" s="13"/>
      <c r="I134" s="13"/>
      <c r="J134" s="13"/>
      <c r="K134" s="1"/>
      <c r="L134" s="13"/>
      <c r="M134" s="13"/>
      <c r="N134" s="13"/>
      <c r="O134" s="43"/>
      <c r="P134" s="13"/>
      <c r="Q134" s="13"/>
      <c r="R134" s="13"/>
      <c r="S134" s="13"/>
      <c r="T134" s="8"/>
      <c r="U134" s="2" t="s">
        <v>109</v>
      </c>
      <c r="V134" s="1"/>
      <c r="W134" s="27"/>
      <c r="X134" s="27"/>
      <c r="Y134" s="1"/>
      <c r="Z134" s="7"/>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pans="1:74" x14ac:dyDescent="0.2">
      <c r="A135" s="13"/>
      <c r="C135" s="13"/>
      <c r="D135" s="13"/>
      <c r="E135" s="13"/>
      <c r="F135" s="13"/>
      <c r="G135" s="13"/>
      <c r="H135" s="13"/>
      <c r="I135" s="13"/>
      <c r="J135" s="13"/>
      <c r="K135" s="1"/>
      <c r="L135" s="13"/>
      <c r="M135" s="13"/>
      <c r="N135" s="13"/>
      <c r="O135" s="43"/>
      <c r="P135" s="13"/>
      <c r="Q135" s="13"/>
      <c r="R135" s="13"/>
      <c r="S135" s="13"/>
      <c r="T135" s="8"/>
      <c r="U135" s="61"/>
      <c r="V135" s="61"/>
      <c r="W135" s="89">
        <v>3.5</v>
      </c>
      <c r="X135" s="89"/>
      <c r="Y135" s="61" t="s">
        <v>110</v>
      </c>
      <c r="Z135" s="7" t="s">
        <v>115</v>
      </c>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pans="1:74" x14ac:dyDescent="0.2">
      <c r="A136" s="13"/>
      <c r="C136" s="13"/>
      <c r="D136" s="13"/>
      <c r="E136" s="13"/>
      <c r="F136" s="13"/>
      <c r="G136" s="13"/>
      <c r="H136" s="13"/>
      <c r="I136" s="13"/>
      <c r="J136" s="13"/>
      <c r="K136" s="1"/>
      <c r="L136" s="13"/>
      <c r="M136" s="13"/>
      <c r="N136" s="13"/>
      <c r="O136" s="43"/>
      <c r="P136" s="13"/>
      <c r="Q136" s="13"/>
      <c r="R136" s="13"/>
      <c r="S136" s="13"/>
      <c r="T136" s="8"/>
      <c r="U136" s="1"/>
      <c r="V136" s="1"/>
      <c r="W136" s="27">
        <v>0.76</v>
      </c>
      <c r="X136" s="27"/>
      <c r="Y136" s="1" t="s">
        <v>111</v>
      </c>
      <c r="Z136" s="7" t="s">
        <v>115</v>
      </c>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pans="1:74" x14ac:dyDescent="0.2">
      <c r="A137" s="13"/>
      <c r="C137" s="13"/>
      <c r="D137" s="13"/>
      <c r="E137" s="13"/>
      <c r="F137" s="13"/>
      <c r="G137" s="13"/>
      <c r="H137" s="13"/>
      <c r="I137" s="13"/>
      <c r="J137" s="13"/>
      <c r="K137" s="1"/>
      <c r="L137" s="13"/>
      <c r="M137" s="13"/>
      <c r="N137" s="13"/>
      <c r="O137" s="43"/>
      <c r="P137" s="13"/>
      <c r="Q137" s="13"/>
      <c r="R137" s="13"/>
      <c r="S137" s="13"/>
      <c r="T137" s="8"/>
      <c r="U137" s="1" t="s">
        <v>78</v>
      </c>
      <c r="V137" s="1"/>
      <c r="W137" s="27">
        <f>W135*W123</f>
        <v>162.79162769710757</v>
      </c>
      <c r="X137" s="27"/>
      <c r="Y137" s="1" t="s">
        <v>110</v>
      </c>
      <c r="Z137" s="7"/>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pans="1:74" x14ac:dyDescent="0.2">
      <c r="A138" s="13"/>
      <c r="C138" s="13"/>
      <c r="D138" s="13"/>
      <c r="E138" s="43"/>
      <c r="F138" s="13"/>
      <c r="G138" s="13"/>
      <c r="H138" s="13"/>
      <c r="I138" s="13"/>
      <c r="J138" s="13"/>
      <c r="K138" s="1"/>
      <c r="L138" s="13"/>
      <c r="M138" s="13"/>
      <c r="N138" s="13"/>
      <c r="O138" s="43"/>
      <c r="P138" s="13"/>
      <c r="Q138" s="13"/>
      <c r="R138" s="13"/>
      <c r="S138" s="13"/>
      <c r="T138" s="8"/>
      <c r="U138" s="1"/>
      <c r="V138" s="1"/>
      <c r="W138" s="27">
        <f>W136*W123</f>
        <v>35.349039157086217</v>
      </c>
      <c r="X138" s="27"/>
      <c r="Y138" s="1" t="s">
        <v>111</v>
      </c>
      <c r="Z138" s="7"/>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pans="1:74" x14ac:dyDescent="0.2">
      <c r="A139" s="13"/>
      <c r="C139" s="13"/>
      <c r="D139" s="13"/>
      <c r="E139" s="99"/>
      <c r="F139" s="13"/>
      <c r="G139" s="13"/>
      <c r="H139" s="13"/>
      <c r="I139" s="13"/>
      <c r="J139" s="13"/>
      <c r="K139" s="1"/>
      <c r="L139" s="1"/>
      <c r="M139" s="1"/>
      <c r="N139" s="1"/>
      <c r="O139" s="27"/>
      <c r="P139" s="1"/>
      <c r="Q139" s="1"/>
      <c r="R139" s="1"/>
      <c r="S139" s="13"/>
      <c r="T139" s="8"/>
      <c r="U139" s="1"/>
      <c r="V139" s="1"/>
      <c r="W139" s="27"/>
      <c r="X139" s="27"/>
      <c r="Y139" s="1"/>
      <c r="Z139" s="7"/>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pans="1:74" x14ac:dyDescent="0.2">
      <c r="A140" s="13"/>
      <c r="C140" s="13"/>
      <c r="D140" s="13"/>
      <c r="E140" s="13"/>
      <c r="F140" s="13"/>
      <c r="G140" s="13"/>
      <c r="H140" s="13"/>
      <c r="I140" s="13"/>
      <c r="J140" s="13"/>
      <c r="K140" s="1"/>
      <c r="L140" s="1"/>
      <c r="M140" s="1"/>
      <c r="N140" s="1"/>
      <c r="O140" s="27"/>
      <c r="P140" s="1"/>
      <c r="Q140" s="1"/>
      <c r="R140" s="1"/>
      <c r="S140" s="13"/>
      <c r="T140" s="8"/>
      <c r="U140" s="1" t="s">
        <v>94</v>
      </c>
      <c r="V140" s="1"/>
      <c r="W140" s="27">
        <f>W138*W119</f>
        <v>282792.31325668975</v>
      </c>
      <c r="X140" s="27"/>
      <c r="Y140" s="1" t="s">
        <v>112</v>
      </c>
      <c r="Z140" s="7"/>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pans="1:74" x14ac:dyDescent="0.2">
      <c r="A141" s="13"/>
      <c r="C141" s="13"/>
      <c r="D141" s="13"/>
      <c r="E141" s="13"/>
      <c r="F141" s="13"/>
      <c r="G141" s="13"/>
      <c r="H141" s="13"/>
      <c r="I141" s="13"/>
      <c r="J141" s="13"/>
      <c r="K141" s="1"/>
      <c r="L141" s="1"/>
      <c r="M141" s="1"/>
      <c r="N141" s="1"/>
      <c r="O141" s="27"/>
      <c r="P141" s="1"/>
      <c r="Q141" s="1"/>
      <c r="R141" s="1"/>
      <c r="S141" s="13"/>
      <c r="T141" s="8"/>
      <c r="U141" s="1"/>
      <c r="V141" s="1"/>
      <c r="W141" s="27">
        <f>E48*W140/1000</f>
        <v>11.311692530267591</v>
      </c>
      <c r="X141" s="27"/>
      <c r="Y141" s="1" t="s">
        <v>157</v>
      </c>
      <c r="Z141" s="7"/>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pans="1:74" x14ac:dyDescent="0.2">
      <c r="A142" s="13"/>
      <c r="C142" s="13"/>
      <c r="D142" s="13"/>
      <c r="E142" s="100"/>
      <c r="F142" s="13"/>
      <c r="G142" s="13"/>
      <c r="H142" s="13"/>
      <c r="I142" s="13"/>
      <c r="J142" s="13"/>
      <c r="K142" s="1"/>
      <c r="L142" s="1"/>
      <c r="M142" s="1"/>
      <c r="N142" s="1"/>
      <c r="O142" s="27"/>
      <c r="P142" s="1"/>
      <c r="Q142" s="1"/>
      <c r="R142" s="1"/>
      <c r="S142" s="13"/>
      <c r="T142" s="8"/>
      <c r="U142" s="1"/>
      <c r="V142" s="1"/>
      <c r="W142" s="29">
        <f>W141/W118</f>
        <v>4.4444444444444446</v>
      </c>
      <c r="X142" s="29"/>
      <c r="Y142" s="61" t="s">
        <v>192</v>
      </c>
      <c r="Z142" s="7"/>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pans="1:74" x14ac:dyDescent="0.2">
      <c r="A143" s="13"/>
      <c r="C143" s="13"/>
      <c r="D143" s="13"/>
      <c r="E143" s="13"/>
      <c r="F143" s="13"/>
      <c r="G143" s="13"/>
      <c r="H143" s="13"/>
      <c r="I143" s="13"/>
      <c r="J143" s="13"/>
      <c r="K143" s="1"/>
      <c r="L143" s="1"/>
      <c r="M143" s="1"/>
      <c r="N143" s="1"/>
      <c r="O143" s="27"/>
      <c r="P143" s="1"/>
      <c r="Q143" s="1"/>
      <c r="R143" s="1"/>
      <c r="S143" s="13"/>
      <c r="T143" s="8"/>
      <c r="U143" s="1"/>
      <c r="V143" s="1"/>
      <c r="W143" s="27"/>
      <c r="X143" s="27"/>
      <c r="Y143" s="1"/>
      <c r="Z143" s="7"/>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pans="1:74" x14ac:dyDescent="0.2">
      <c r="A144" s="13"/>
      <c r="C144" s="13"/>
      <c r="D144" s="13"/>
      <c r="E144" s="13"/>
      <c r="F144" s="13"/>
      <c r="G144" s="13"/>
      <c r="H144" s="13"/>
      <c r="I144" s="13"/>
      <c r="J144" s="13"/>
      <c r="K144" s="1"/>
      <c r="L144" s="1"/>
      <c r="M144" s="1"/>
      <c r="N144" s="1"/>
      <c r="O144" s="27"/>
      <c r="P144" s="1"/>
      <c r="Q144" s="1"/>
      <c r="R144" s="1"/>
      <c r="S144" s="13"/>
      <c r="T144" s="8"/>
      <c r="U144" s="1" t="s">
        <v>114</v>
      </c>
      <c r="V144" s="1"/>
      <c r="W144" s="27">
        <f>W137*W119</f>
        <v>1302333.0215768607</v>
      </c>
      <c r="X144" s="27"/>
      <c r="Y144" s="1" t="s">
        <v>113</v>
      </c>
      <c r="Z144" s="7"/>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pans="1:74" x14ac:dyDescent="0.2">
      <c r="A145" s="13"/>
      <c r="C145" s="13"/>
      <c r="D145" s="13"/>
      <c r="E145" s="13"/>
      <c r="F145" s="13"/>
      <c r="G145" s="13"/>
      <c r="H145" s="13"/>
      <c r="I145" s="13"/>
      <c r="J145" s="13"/>
      <c r="K145" s="1"/>
      <c r="L145" s="13"/>
      <c r="M145" s="13"/>
      <c r="N145" s="13"/>
      <c r="O145" s="43"/>
      <c r="P145" s="13"/>
      <c r="Q145" s="13"/>
      <c r="R145" s="13"/>
      <c r="S145" s="13"/>
      <c r="T145" s="8"/>
      <c r="U145" s="1"/>
      <c r="V145" s="1"/>
      <c r="W145" s="27">
        <f>W144*E51/1000000</f>
        <v>22.738734556731988</v>
      </c>
      <c r="X145" s="27"/>
      <c r="Y145" s="1" t="s">
        <v>157</v>
      </c>
      <c r="Z145" s="7"/>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pans="1:74" x14ac:dyDescent="0.2">
      <c r="A146" s="13"/>
      <c r="C146" s="13"/>
      <c r="D146" s="13"/>
      <c r="E146" s="13"/>
      <c r="F146" s="13"/>
      <c r="G146" s="13"/>
      <c r="H146" s="13"/>
      <c r="I146" s="13"/>
      <c r="J146" s="13"/>
      <c r="K146" s="1"/>
      <c r="L146" s="13"/>
      <c r="M146" s="13"/>
      <c r="N146" s="13"/>
      <c r="O146" s="43"/>
      <c r="P146" s="13"/>
      <c r="Q146" s="13"/>
      <c r="R146" s="13"/>
      <c r="S146" s="13"/>
      <c r="T146" s="8"/>
      <c r="U146" s="1"/>
      <c r="V146" s="1"/>
      <c r="W146" s="29">
        <f>W145/W118</f>
        <v>8.9342105263157894</v>
      </c>
      <c r="X146" s="29"/>
      <c r="Y146" s="61" t="s">
        <v>192</v>
      </c>
      <c r="Z146" s="7"/>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pans="1:74" x14ac:dyDescent="0.2">
      <c r="A147" s="13"/>
      <c r="C147" s="13"/>
      <c r="D147" s="13"/>
      <c r="E147" s="13"/>
      <c r="F147" s="13"/>
      <c r="G147" s="13"/>
      <c r="H147" s="13"/>
      <c r="I147" s="13"/>
      <c r="J147" s="13"/>
      <c r="K147" s="13"/>
      <c r="L147" s="13"/>
      <c r="M147" s="13"/>
      <c r="N147" s="13"/>
      <c r="O147" s="43"/>
      <c r="P147" s="13"/>
      <c r="Q147" s="13"/>
      <c r="R147" s="13"/>
      <c r="S147" s="13"/>
      <c r="T147" s="8"/>
      <c r="U147" s="1"/>
      <c r="V147" s="1"/>
      <c r="W147" s="27"/>
      <c r="X147" s="27"/>
      <c r="Y147" s="1"/>
      <c r="Z147" s="7"/>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pans="1:74" x14ac:dyDescent="0.2">
      <c r="A148" s="13"/>
      <c r="C148" s="13"/>
      <c r="D148" s="13"/>
      <c r="E148" s="13"/>
      <c r="F148" s="13"/>
      <c r="G148" s="13"/>
      <c r="H148" s="13"/>
      <c r="I148" s="13"/>
      <c r="J148" s="13"/>
      <c r="K148" s="13"/>
      <c r="L148" s="13"/>
      <c r="M148" s="13"/>
      <c r="N148" s="13"/>
      <c r="O148" s="43"/>
      <c r="P148" s="13"/>
      <c r="Q148" s="13"/>
      <c r="R148" s="13"/>
      <c r="S148" s="13"/>
      <c r="T148" s="8"/>
      <c r="U148" s="1" t="s">
        <v>52</v>
      </c>
      <c r="V148" s="1"/>
      <c r="W148" s="87">
        <f>W129+W132+W146+W142</f>
        <v>38.053842082313757</v>
      </c>
      <c r="X148" s="27"/>
      <c r="Y148" s="61" t="s">
        <v>192</v>
      </c>
      <c r="Z148" s="7"/>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pans="1:74" x14ac:dyDescent="0.2">
      <c r="A149" s="13"/>
      <c r="C149" s="13"/>
      <c r="D149" s="13"/>
      <c r="E149" s="13"/>
      <c r="F149" s="13"/>
      <c r="G149" s="13"/>
      <c r="H149" s="13"/>
      <c r="I149" s="13"/>
      <c r="J149" s="13"/>
      <c r="K149" s="13"/>
      <c r="L149" s="13"/>
      <c r="M149" s="13"/>
      <c r="N149" s="13"/>
      <c r="O149" s="13"/>
      <c r="P149" s="13"/>
      <c r="Q149" s="13"/>
      <c r="R149" s="13"/>
      <c r="S149" s="13"/>
      <c r="T149" s="8"/>
      <c r="U149" s="1"/>
      <c r="V149" s="1"/>
      <c r="W149" s="1"/>
      <c r="X149" s="1"/>
      <c r="Y149" s="1"/>
      <c r="Z149" s="7"/>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row>
    <row r="150" spans="1:74" x14ac:dyDescent="0.2">
      <c r="A150" s="13"/>
      <c r="C150" s="13"/>
      <c r="D150" s="13"/>
      <c r="E150" s="13"/>
      <c r="F150" s="13"/>
      <c r="G150" s="13"/>
      <c r="H150" s="13"/>
      <c r="I150" s="13"/>
      <c r="J150" s="13"/>
      <c r="K150" s="13"/>
      <c r="L150" s="13"/>
      <c r="M150" s="13"/>
      <c r="N150" s="13"/>
      <c r="O150" s="13"/>
      <c r="P150" s="13"/>
      <c r="Q150" s="13"/>
      <c r="R150" s="13"/>
      <c r="S150" s="13"/>
      <c r="T150" s="9"/>
      <c r="U150" s="10"/>
      <c r="V150" s="10"/>
      <c r="W150" s="10"/>
      <c r="X150" s="10"/>
      <c r="Y150" s="10"/>
      <c r="Z150" s="11"/>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row>
    <row r="151" spans="1:74" x14ac:dyDescent="0.2">
      <c r="A151" s="13"/>
      <c r="C151" s="13"/>
      <c r="D151" s="13"/>
      <c r="E151" s="13"/>
      <c r="F151" s="13"/>
      <c r="G151" s="13"/>
      <c r="H151" s="13"/>
      <c r="I151" s="13"/>
      <c r="J151" s="13"/>
      <c r="K151" s="13"/>
      <c r="L151" s="13"/>
      <c r="M151" s="13"/>
      <c r="N151" s="13"/>
      <c r="O151" s="13"/>
      <c r="P151" s="13"/>
      <c r="Q151" s="13"/>
      <c r="R151" s="13"/>
      <c r="S151" s="13"/>
      <c r="T151" s="3"/>
      <c r="U151" s="4"/>
      <c r="V151" s="4"/>
      <c r="W151" s="4"/>
      <c r="X151" s="4"/>
      <c r="Y151" s="4"/>
      <c r="Z151" s="5"/>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row>
    <row r="152" spans="1:74" x14ac:dyDescent="0.2">
      <c r="A152" s="13"/>
      <c r="C152" s="13"/>
      <c r="D152" s="13"/>
      <c r="E152" s="13"/>
      <c r="F152" s="13"/>
      <c r="G152" s="13"/>
      <c r="H152" s="13"/>
      <c r="I152" s="13"/>
      <c r="J152" s="13"/>
      <c r="K152" s="13"/>
      <c r="L152" s="13"/>
      <c r="M152" s="13"/>
      <c r="N152" s="13"/>
      <c r="O152" s="13"/>
      <c r="P152" s="13"/>
      <c r="Q152" s="13"/>
      <c r="R152" s="13"/>
      <c r="S152" s="13"/>
      <c r="T152" s="8"/>
      <c r="U152" s="65" t="s">
        <v>552</v>
      </c>
      <c r="V152" s="65"/>
      <c r="W152" s="65"/>
      <c r="X152" s="65"/>
      <c r="Y152" s="65"/>
      <c r="Z152" s="81"/>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row>
    <row r="153" spans="1:74" x14ac:dyDescent="0.2">
      <c r="A153" s="13"/>
      <c r="C153" s="13"/>
      <c r="D153" s="13"/>
      <c r="E153" s="13"/>
      <c r="F153" s="13"/>
      <c r="G153" s="13"/>
      <c r="H153" s="13"/>
      <c r="I153" s="13"/>
      <c r="J153" s="13"/>
      <c r="K153" s="13"/>
      <c r="L153" s="13"/>
      <c r="M153" s="13"/>
      <c r="N153" s="13"/>
      <c r="O153" s="13"/>
      <c r="P153" s="13"/>
      <c r="Q153" s="13"/>
      <c r="R153" s="13"/>
      <c r="S153" s="13"/>
      <c r="T153" s="8"/>
      <c r="U153" s="79"/>
      <c r="V153" s="79"/>
      <c r="W153" s="27">
        <f>W112/$AR$8*$AR$6</f>
        <v>0.19289412525298422</v>
      </c>
      <c r="X153" s="65"/>
      <c r="Y153" s="65" t="s">
        <v>256</v>
      </c>
      <c r="Z153" s="81"/>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row>
    <row r="154" spans="1:74" x14ac:dyDescent="0.2">
      <c r="A154" s="13"/>
      <c r="C154" s="13"/>
      <c r="D154" s="13"/>
      <c r="E154" s="13"/>
      <c r="F154" s="13"/>
      <c r="G154" s="13"/>
      <c r="H154" s="13"/>
      <c r="I154" s="13"/>
      <c r="J154" s="13"/>
      <c r="K154" s="13"/>
      <c r="L154" s="13"/>
      <c r="M154" s="13"/>
      <c r="N154" s="13"/>
      <c r="O154" s="13"/>
      <c r="P154" s="13"/>
      <c r="Q154" s="13"/>
      <c r="R154" s="13"/>
      <c r="S154" s="13"/>
      <c r="T154" s="8"/>
      <c r="U154" s="79" t="s">
        <v>550</v>
      </c>
      <c r="V154" s="79"/>
      <c r="W154" s="27">
        <f>W153*I18</f>
        <v>445.28468734794473</v>
      </c>
      <c r="X154" s="65"/>
      <c r="Y154" s="65" t="s">
        <v>158</v>
      </c>
      <c r="Z154" s="81"/>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row>
    <row r="155" spans="1:74" x14ac:dyDescent="0.2">
      <c r="A155" s="13"/>
      <c r="C155" s="13"/>
      <c r="D155" s="13"/>
      <c r="E155" s="13"/>
      <c r="F155" s="13"/>
      <c r="G155" s="13"/>
      <c r="H155" s="13"/>
      <c r="I155" s="13"/>
      <c r="J155" s="13"/>
      <c r="K155" s="13"/>
      <c r="L155" s="13"/>
      <c r="M155" s="13"/>
      <c r="N155" s="13"/>
      <c r="O155" s="13"/>
      <c r="P155" s="13"/>
      <c r="Q155" s="13"/>
      <c r="R155" s="13"/>
      <c r="S155" s="13"/>
      <c r="T155" s="8"/>
      <c r="U155" s="79" t="s">
        <v>551</v>
      </c>
      <c r="V155" s="79"/>
      <c r="W155" s="27">
        <f>W154/W113</f>
        <v>174.95552054515912</v>
      </c>
      <c r="X155" s="65"/>
      <c r="Y155" s="65" t="s">
        <v>193</v>
      </c>
      <c r="Z155" s="81"/>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row>
    <row r="156" spans="1:74" x14ac:dyDescent="0.2">
      <c r="A156" s="13"/>
      <c r="C156" s="13"/>
      <c r="D156" s="13"/>
      <c r="E156" s="13"/>
      <c r="F156" s="13"/>
      <c r="G156" s="13"/>
      <c r="H156" s="13"/>
      <c r="I156" s="13"/>
      <c r="J156" s="13"/>
      <c r="K156" s="13"/>
      <c r="L156" s="13"/>
      <c r="M156" s="13"/>
      <c r="N156" s="13"/>
      <c r="O156" s="13"/>
      <c r="P156" s="13"/>
      <c r="Q156" s="13"/>
      <c r="R156" s="13"/>
      <c r="S156" s="13"/>
      <c r="T156" s="9"/>
      <c r="U156" s="82"/>
      <c r="V156" s="82"/>
      <c r="W156" s="82"/>
      <c r="X156" s="82"/>
      <c r="Y156" s="82"/>
      <c r="Z156" s="8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row>
    <row r="157" spans="1:74" x14ac:dyDescent="0.2">
      <c r="A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row>
    <row r="158" spans="1:74" x14ac:dyDescent="0.2">
      <c r="A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row>
    <row r="159" spans="1:74" x14ac:dyDescent="0.2">
      <c r="A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row>
    <row r="160" spans="1:74" x14ac:dyDescent="0.2">
      <c r="A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row>
    <row r="161" spans="1:65" x14ac:dyDescent="0.2">
      <c r="A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row>
    <row r="162" spans="1:65" x14ac:dyDescent="0.2">
      <c r="A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row>
    <row r="163" spans="1:65" x14ac:dyDescent="0.2">
      <c r="A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row>
    <row r="164" spans="1:65" x14ac:dyDescent="0.2">
      <c r="A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row>
    <row r="165" spans="1:65" x14ac:dyDescent="0.2">
      <c r="A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row>
    <row r="166" spans="1:65" x14ac:dyDescent="0.2">
      <c r="A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row>
    <row r="167" spans="1:65" x14ac:dyDescent="0.2">
      <c r="A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row>
    <row r="168" spans="1:65" x14ac:dyDescent="0.2">
      <c r="A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79"/>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row>
    <row r="169" spans="1:65" x14ac:dyDescent="0.2">
      <c r="A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79"/>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row>
    <row r="170" spans="1:65" x14ac:dyDescent="0.2">
      <c r="A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79"/>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row>
    <row r="171" spans="1:65" x14ac:dyDescent="0.2">
      <c r="A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79"/>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row>
    <row r="172" spans="1:65" x14ac:dyDescent="0.2">
      <c r="A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79"/>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row>
    <row r="173" spans="1:65" x14ac:dyDescent="0.2">
      <c r="A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row>
    <row r="174" spans="1:65" x14ac:dyDescent="0.2">
      <c r="A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row>
    <row r="175" spans="1:65" x14ac:dyDescent="0.2">
      <c r="A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row>
    <row r="176" spans="1:65" x14ac:dyDescent="0.2">
      <c r="A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row>
    <row r="177" spans="1:65" x14ac:dyDescent="0.2">
      <c r="A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row>
    <row r="178" spans="1:65" x14ac:dyDescent="0.2">
      <c r="A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row>
    <row r="179" spans="1:65" x14ac:dyDescent="0.2">
      <c r="A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row>
    <row r="180" spans="1:65" x14ac:dyDescent="0.2">
      <c r="A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row>
    <row r="181" spans="1:65" x14ac:dyDescent="0.2">
      <c r="A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row>
    <row r="182" spans="1:65" x14ac:dyDescent="0.2">
      <c r="A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row>
    <row r="183" spans="1:65" x14ac:dyDescent="0.2">
      <c r="A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row>
    <row r="184" spans="1:65" x14ac:dyDescent="0.2">
      <c r="A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row>
    <row r="185" spans="1:65" x14ac:dyDescent="0.2">
      <c r="A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row>
    <row r="186" spans="1:65" x14ac:dyDescent="0.2">
      <c r="A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row>
    <row r="187" spans="1:65" x14ac:dyDescent="0.2">
      <c r="A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row>
    <row r="188" spans="1:65" x14ac:dyDescent="0.2">
      <c r="A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row>
    <row r="189" spans="1:65" x14ac:dyDescent="0.2">
      <c r="A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row>
    <row r="190" spans="1:65" x14ac:dyDescent="0.2">
      <c r="A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row>
    <row r="191" spans="1:65" x14ac:dyDescent="0.2">
      <c r="A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row>
    <row r="192" spans="1:65" x14ac:dyDescent="0.2">
      <c r="A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row>
    <row r="193" spans="1:65" x14ac:dyDescent="0.2">
      <c r="A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row>
    <row r="194" spans="1:65" x14ac:dyDescent="0.2">
      <c r="A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row>
    <row r="195" spans="1:65" x14ac:dyDescent="0.2">
      <c r="A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row>
    <row r="196" spans="1:65" x14ac:dyDescent="0.2">
      <c r="A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row>
    <row r="197" spans="1:65" x14ac:dyDescent="0.2">
      <c r="A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row>
    <row r="198" spans="1:65" x14ac:dyDescent="0.2">
      <c r="A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row>
    <row r="199" spans="1:65" x14ac:dyDescent="0.2">
      <c r="A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row>
    <row r="200" spans="1:65" x14ac:dyDescent="0.2">
      <c r="A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row>
    <row r="201" spans="1:65" x14ac:dyDescent="0.2">
      <c r="A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row>
    <row r="202" spans="1:65" x14ac:dyDescent="0.2">
      <c r="A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row>
    <row r="203" spans="1:65" x14ac:dyDescent="0.2">
      <c r="A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row>
    <row r="204" spans="1:65" x14ac:dyDescent="0.2">
      <c r="A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row>
    <row r="205" spans="1:65" x14ac:dyDescent="0.2">
      <c r="A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row>
    <row r="206" spans="1:65" x14ac:dyDescent="0.2">
      <c r="A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row>
    <row r="207" spans="1:65" x14ac:dyDescent="0.2">
      <c r="A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row>
    <row r="208" spans="1:65" x14ac:dyDescent="0.2">
      <c r="A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row>
    <row r="209" spans="1:65" x14ac:dyDescent="0.2">
      <c r="A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row>
    <row r="210" spans="1:65" x14ac:dyDescent="0.2">
      <c r="A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row>
    <row r="211" spans="1:65" x14ac:dyDescent="0.2">
      <c r="A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row>
    <row r="212" spans="1:65" x14ac:dyDescent="0.2">
      <c r="A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row>
    <row r="213" spans="1:65" x14ac:dyDescent="0.2">
      <c r="A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row>
    <row r="214" spans="1:65" x14ac:dyDescent="0.2">
      <c r="A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row>
    <row r="215" spans="1:65" x14ac:dyDescent="0.2">
      <c r="A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row>
    <row r="216" spans="1:65" x14ac:dyDescent="0.2">
      <c r="A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row>
    <row r="217" spans="1:65" x14ac:dyDescent="0.2">
      <c r="A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row>
    <row r="218" spans="1:65" x14ac:dyDescent="0.2">
      <c r="A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row>
    <row r="219" spans="1:65" x14ac:dyDescent="0.2">
      <c r="A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row>
    <row r="220" spans="1:65" x14ac:dyDescent="0.2">
      <c r="A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row>
    <row r="221" spans="1:65" x14ac:dyDescent="0.2">
      <c r="A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row>
    <row r="222" spans="1:65" x14ac:dyDescent="0.2">
      <c r="A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row>
    <row r="223" spans="1:65" x14ac:dyDescent="0.2">
      <c r="A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row>
    <row r="224" spans="1:65" x14ac:dyDescent="0.2">
      <c r="A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row>
    <row r="225" spans="1:65" x14ac:dyDescent="0.2">
      <c r="A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row>
    <row r="226" spans="1:65" x14ac:dyDescent="0.2">
      <c r="A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row>
    <row r="227" spans="1:65" x14ac:dyDescent="0.2">
      <c r="A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row>
    <row r="228" spans="1:65" x14ac:dyDescent="0.2">
      <c r="A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row>
    <row r="229" spans="1:65" x14ac:dyDescent="0.2">
      <c r="A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row>
    <row r="230" spans="1:65" x14ac:dyDescent="0.2">
      <c r="A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row>
    <row r="231" spans="1:65" x14ac:dyDescent="0.2">
      <c r="A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row>
    <row r="232" spans="1:65" x14ac:dyDescent="0.2">
      <c r="A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row>
    <row r="233" spans="1:65" x14ac:dyDescent="0.2">
      <c r="A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row>
    <row r="234" spans="1:65" x14ac:dyDescent="0.2">
      <c r="A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row>
    <row r="235" spans="1:65" x14ac:dyDescent="0.2">
      <c r="A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row>
    <row r="236" spans="1:65" x14ac:dyDescent="0.2">
      <c r="A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row>
    <row r="237" spans="1:65" x14ac:dyDescent="0.2">
      <c r="A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row>
    <row r="238" spans="1:65" x14ac:dyDescent="0.2">
      <c r="A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row>
    <row r="239" spans="1:65" x14ac:dyDescent="0.2">
      <c r="A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row>
    <row r="240" spans="1:65" x14ac:dyDescent="0.2">
      <c r="A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row>
    <row r="241" spans="1:52" x14ac:dyDescent="0.2">
      <c r="A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row>
    <row r="242" spans="1:52" x14ac:dyDescent="0.2">
      <c r="A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row>
    <row r="243" spans="1:52" x14ac:dyDescent="0.2">
      <c r="A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row>
    <row r="244" spans="1:52" x14ac:dyDescent="0.2">
      <c r="A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row>
    <row r="245" spans="1:52" x14ac:dyDescent="0.2">
      <c r="A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row>
    <row r="246" spans="1:52" x14ac:dyDescent="0.2">
      <c r="A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row>
    <row r="247" spans="1:52" x14ac:dyDescent="0.2">
      <c r="A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row>
    <row r="248" spans="1:52" x14ac:dyDescent="0.2">
      <c r="A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row>
    <row r="249" spans="1:52" x14ac:dyDescent="0.2">
      <c r="A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row>
    <row r="250" spans="1:52" x14ac:dyDescent="0.2">
      <c r="A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row>
    <row r="251" spans="1:52" x14ac:dyDescent="0.2">
      <c r="A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row>
    <row r="252" spans="1:52" x14ac:dyDescent="0.2">
      <c r="A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row>
    <row r="253" spans="1:52" x14ac:dyDescent="0.2">
      <c r="A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row>
    <row r="254" spans="1:52" x14ac:dyDescent="0.2">
      <c r="A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row>
    <row r="255" spans="1:52" x14ac:dyDescent="0.2">
      <c r="A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row>
    <row r="256" spans="1:52" x14ac:dyDescent="0.2">
      <c r="A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row>
    <row r="257" spans="1:52" x14ac:dyDescent="0.2">
      <c r="A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row>
    <row r="258" spans="1:52" x14ac:dyDescent="0.2">
      <c r="A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row>
    <row r="259" spans="1:52" x14ac:dyDescent="0.2">
      <c r="A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row>
    <row r="260" spans="1:52" x14ac:dyDescent="0.2">
      <c r="A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row>
    <row r="261" spans="1:52" x14ac:dyDescent="0.2">
      <c r="A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row>
    <row r="262" spans="1:52" x14ac:dyDescent="0.2">
      <c r="A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row>
    <row r="263" spans="1:52" x14ac:dyDescent="0.2">
      <c r="A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row>
    <row r="264" spans="1:52" x14ac:dyDescent="0.2">
      <c r="A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row>
    <row r="265" spans="1:52" x14ac:dyDescent="0.2">
      <c r="A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row>
    <row r="266" spans="1:52" x14ac:dyDescent="0.2">
      <c r="A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row>
    <row r="267" spans="1:52" x14ac:dyDescent="0.2">
      <c r="A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row>
    <row r="268" spans="1:52" x14ac:dyDescent="0.2">
      <c r="A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row>
    <row r="269" spans="1:52" x14ac:dyDescent="0.2">
      <c r="A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row>
    <row r="270" spans="1:52" x14ac:dyDescent="0.2">
      <c r="A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row>
    <row r="271" spans="1:52" x14ac:dyDescent="0.2">
      <c r="A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row>
    <row r="272" spans="1:52" x14ac:dyDescent="0.2">
      <c r="A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row>
    <row r="273" spans="1:52" x14ac:dyDescent="0.2">
      <c r="A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row>
    <row r="274" spans="1:52" x14ac:dyDescent="0.2">
      <c r="A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row>
    <row r="275" spans="1:52" x14ac:dyDescent="0.2">
      <c r="A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row>
    <row r="276" spans="1:52" x14ac:dyDescent="0.2">
      <c r="A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row>
    <row r="277" spans="1:52" x14ac:dyDescent="0.2">
      <c r="A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row>
    <row r="278" spans="1:52" x14ac:dyDescent="0.2">
      <c r="A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row>
    <row r="279" spans="1:52" x14ac:dyDescent="0.2">
      <c r="A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row>
    <row r="280" spans="1:52" x14ac:dyDescent="0.2">
      <c r="A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row>
    <row r="281" spans="1:52" x14ac:dyDescent="0.2">
      <c r="A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row>
    <row r="282" spans="1:52" x14ac:dyDescent="0.2">
      <c r="A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row>
    <row r="283" spans="1:52" x14ac:dyDescent="0.2">
      <c r="A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row>
    <row r="284" spans="1:52" x14ac:dyDescent="0.2">
      <c r="A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row>
    <row r="285" spans="1:52" x14ac:dyDescent="0.2">
      <c r="A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row>
    <row r="286" spans="1:52" x14ac:dyDescent="0.2">
      <c r="A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row>
    <row r="287" spans="1:52" x14ac:dyDescent="0.2">
      <c r="A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row>
    <row r="288" spans="1:52" x14ac:dyDescent="0.2">
      <c r="A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row>
    <row r="289" spans="1:52" x14ac:dyDescent="0.2">
      <c r="A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row>
    <row r="290" spans="1:52" x14ac:dyDescent="0.2">
      <c r="A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row>
    <row r="291" spans="1:52" x14ac:dyDescent="0.2">
      <c r="A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row>
    <row r="292" spans="1:52" x14ac:dyDescent="0.2">
      <c r="A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row>
    <row r="293" spans="1:52" x14ac:dyDescent="0.2">
      <c r="A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row>
    <row r="294" spans="1:52" x14ac:dyDescent="0.2">
      <c r="A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row>
    <row r="295" spans="1:52" x14ac:dyDescent="0.2">
      <c r="A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row>
    <row r="296" spans="1:52" x14ac:dyDescent="0.2">
      <c r="A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row>
    <row r="297" spans="1:52" x14ac:dyDescent="0.2">
      <c r="A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row>
    <row r="298" spans="1:52" x14ac:dyDescent="0.2">
      <c r="A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J358" s="13"/>
      <c r="AK358" s="13"/>
      <c r="AL358" s="13"/>
      <c r="AM358" s="13"/>
      <c r="AN358" s="13"/>
      <c r="AO358" s="13"/>
      <c r="AP358" s="13"/>
      <c r="AQ358" s="13"/>
      <c r="AR358" s="13"/>
      <c r="AZ358" s="13"/>
    </row>
    <row r="359" spans="1:52" x14ac:dyDescent="0.2">
      <c r="A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J359" s="13"/>
      <c r="AK359" s="13"/>
      <c r="AL359" s="13"/>
      <c r="AM359" s="13"/>
      <c r="AN359" s="13"/>
      <c r="AO359" s="13"/>
      <c r="AP359" s="13"/>
      <c r="AQ359" s="13"/>
      <c r="AR359" s="13"/>
      <c r="AZ359" s="13"/>
    </row>
    <row r="360" spans="1:52" x14ac:dyDescent="0.2">
      <c r="A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J360" s="13"/>
      <c r="AK360" s="13"/>
      <c r="AL360" s="13"/>
      <c r="AM360" s="13"/>
      <c r="AN360" s="13"/>
      <c r="AO360" s="13"/>
      <c r="AP360" s="13"/>
      <c r="AQ360" s="13"/>
      <c r="AR360" s="13"/>
      <c r="AZ360" s="13"/>
    </row>
    <row r="361" spans="1:52" x14ac:dyDescent="0.2">
      <c r="A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J361" s="13"/>
      <c r="AK361" s="13"/>
      <c r="AL361" s="13"/>
      <c r="AM361" s="13"/>
      <c r="AN361" s="13"/>
      <c r="AO361" s="13"/>
      <c r="AP361" s="13"/>
      <c r="AQ361" s="13"/>
      <c r="AR361" s="13"/>
      <c r="AZ361" s="13"/>
    </row>
    <row r="362" spans="1:52" x14ac:dyDescent="0.2">
      <c r="A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J362" s="13"/>
      <c r="AK362" s="13"/>
      <c r="AL362" s="13"/>
      <c r="AM362" s="13"/>
      <c r="AN362" s="13"/>
      <c r="AO362" s="13"/>
      <c r="AP362" s="13"/>
      <c r="AQ362" s="13"/>
      <c r="AR362" s="13"/>
      <c r="AZ362" s="13"/>
    </row>
    <row r="363" spans="1:52" x14ac:dyDescent="0.2">
      <c r="A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J363" s="13"/>
      <c r="AK363" s="13"/>
      <c r="AL363" s="13"/>
      <c r="AM363" s="13"/>
      <c r="AN363" s="13"/>
      <c r="AO363" s="13"/>
      <c r="AP363" s="13"/>
      <c r="AQ363" s="13"/>
      <c r="AR363" s="13"/>
      <c r="AZ363" s="13"/>
    </row>
    <row r="364" spans="1:52" x14ac:dyDescent="0.2">
      <c r="A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J364" s="13"/>
      <c r="AK364" s="13"/>
      <c r="AL364" s="13"/>
      <c r="AM364" s="13"/>
      <c r="AN364" s="13"/>
      <c r="AO364" s="13"/>
      <c r="AP364" s="13"/>
      <c r="AQ364" s="13"/>
      <c r="AR364" s="13"/>
      <c r="AZ364" s="13"/>
    </row>
    <row r="365" spans="1:52" x14ac:dyDescent="0.2">
      <c r="A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J365" s="13"/>
      <c r="AK365" s="13"/>
      <c r="AL365" s="13"/>
      <c r="AM365" s="13"/>
      <c r="AN365" s="13"/>
      <c r="AO365" s="13"/>
      <c r="AP365" s="13"/>
      <c r="AQ365" s="13"/>
      <c r="AR365" s="13"/>
      <c r="AZ365" s="13"/>
    </row>
    <row r="366" spans="1:52" x14ac:dyDescent="0.2">
      <c r="A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J366" s="13"/>
      <c r="AK366" s="13"/>
      <c r="AL366" s="13"/>
      <c r="AM366" s="13"/>
      <c r="AN366" s="13"/>
      <c r="AO366" s="13"/>
      <c r="AP366" s="13"/>
      <c r="AQ366" s="13"/>
      <c r="AR366" s="13"/>
      <c r="AZ366" s="13"/>
    </row>
    <row r="367" spans="1:52" x14ac:dyDescent="0.2">
      <c r="A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J367" s="13"/>
      <c r="AK367" s="13"/>
      <c r="AL367" s="13"/>
      <c r="AM367" s="13"/>
      <c r="AN367" s="13"/>
      <c r="AO367" s="13"/>
      <c r="AP367" s="13"/>
      <c r="AQ367" s="13"/>
      <c r="AR367" s="13"/>
      <c r="AZ367" s="13"/>
    </row>
    <row r="368" spans="1:52" x14ac:dyDescent="0.2">
      <c r="A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J368" s="13"/>
      <c r="AZ368" s="13"/>
    </row>
    <row r="369" spans="1:52" x14ac:dyDescent="0.2">
      <c r="A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J369" s="13"/>
      <c r="AZ369" s="13"/>
    </row>
    <row r="370" spans="1:52" x14ac:dyDescent="0.2">
      <c r="A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J370" s="13"/>
      <c r="AZ370" s="13"/>
    </row>
  </sheetData>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L228"/>
  <sheetViews>
    <sheetView workbookViewId="0"/>
  </sheetViews>
  <sheetFormatPr baseColWidth="10" defaultRowHeight="16" x14ac:dyDescent="0.2"/>
  <cols>
    <col min="3" max="3" width="18.6640625" customWidth="1"/>
    <col min="4" max="4" width="14.83203125" customWidth="1"/>
    <col min="5" max="5" width="12.5" customWidth="1"/>
    <col min="6" max="6" width="15.33203125" customWidth="1"/>
    <col min="7" max="7" width="14.33203125" customWidth="1"/>
  </cols>
  <sheetData>
    <row r="1" spans="3:11" s="13" customFormat="1" x14ac:dyDescent="0.2"/>
    <row r="2" spans="3:11" s="13" customFormat="1" x14ac:dyDescent="0.2"/>
    <row r="3" spans="3:11" s="13" customFormat="1" ht="29" x14ac:dyDescent="0.35">
      <c r="C3" s="84" t="s">
        <v>401</v>
      </c>
    </row>
    <row r="4" spans="3:11" s="13" customFormat="1" x14ac:dyDescent="0.2"/>
    <row r="5" spans="3:11" s="13" customFormat="1" x14ac:dyDescent="0.2"/>
    <row r="6" spans="3:11" s="13" customFormat="1" x14ac:dyDescent="0.2"/>
    <row r="7" spans="3:11" s="13" customFormat="1" x14ac:dyDescent="0.2"/>
    <row r="8" spans="3:11" s="13" customFormat="1" x14ac:dyDescent="0.2"/>
    <row r="9" spans="3:11" s="13" customFormat="1" x14ac:dyDescent="0.2"/>
    <row r="10" spans="3:11" s="13" customFormat="1" ht="26" x14ac:dyDescent="0.3">
      <c r="C10" s="59" t="s">
        <v>219</v>
      </c>
      <c r="J10" s="1"/>
    </row>
    <row r="11" spans="3:11" s="13" customFormat="1" ht="18" customHeight="1" x14ac:dyDescent="0.3">
      <c r="C11" s="59"/>
      <c r="J11" s="1"/>
    </row>
    <row r="12" spans="3:11" s="13" customFormat="1" x14ac:dyDescent="0.2">
      <c r="C12" s="13" t="s">
        <v>195</v>
      </c>
      <c r="D12" s="43">
        <f>Process!C22</f>
        <v>0</v>
      </c>
      <c r="E12" s="13" t="s">
        <v>46</v>
      </c>
      <c r="G12" s="19" t="s">
        <v>197</v>
      </c>
      <c r="H12" s="30"/>
      <c r="I12" s="30">
        <f>Process!E70</f>
        <v>0.99990000000000001</v>
      </c>
      <c r="J12" s="30"/>
      <c r="K12" s="30"/>
    </row>
    <row r="13" spans="3:11" s="13" customFormat="1" x14ac:dyDescent="0.2">
      <c r="D13" s="43">
        <f>D12/Process!AR8</f>
        <v>0</v>
      </c>
      <c r="E13" s="13" t="s">
        <v>143</v>
      </c>
      <c r="G13" s="19" t="s">
        <v>198</v>
      </c>
      <c r="H13" s="30"/>
      <c r="I13" s="30">
        <f>Process!W70</f>
        <v>0.98</v>
      </c>
      <c r="J13" s="30"/>
      <c r="K13" s="30"/>
    </row>
    <row r="14" spans="3:11" s="13" customFormat="1" x14ac:dyDescent="0.2">
      <c r="C14" s="13" t="s">
        <v>221</v>
      </c>
      <c r="D14" s="43">
        <f>Tata_gases!C66</f>
        <v>8.9818846949245206</v>
      </c>
      <c r="E14" s="13" t="s">
        <v>46</v>
      </c>
      <c r="F14" s="13" t="s">
        <v>220</v>
      </c>
      <c r="G14" s="19" t="s">
        <v>85</v>
      </c>
      <c r="H14" s="30"/>
      <c r="I14" s="30">
        <f>Process!W76</f>
        <v>0.99942857142857144</v>
      </c>
      <c r="J14" s="30"/>
      <c r="K14" s="30"/>
    </row>
    <row r="15" spans="3:11" s="13" customFormat="1" x14ac:dyDescent="0.2">
      <c r="D15" s="43">
        <f>D14/Process!AR8</f>
        <v>0.20413374306646637</v>
      </c>
      <c r="E15" s="13" t="s">
        <v>143</v>
      </c>
      <c r="G15" s="19" t="s">
        <v>87</v>
      </c>
      <c r="H15" s="30"/>
      <c r="I15" s="30">
        <f>Process!W111</f>
        <v>0.95</v>
      </c>
      <c r="J15" s="30"/>
      <c r="K15" s="30"/>
    </row>
    <row r="16" spans="3:11" s="13" customFormat="1" x14ac:dyDescent="0.2">
      <c r="D16" s="43">
        <f>Tata_gases!C50+Tata_gases!C51+Tata_gases!L39+Tata_gases!L40</f>
        <v>0.20635662102757671</v>
      </c>
      <c r="E16" s="13" t="s">
        <v>360</v>
      </c>
      <c r="G16" s="19" t="s">
        <v>2</v>
      </c>
      <c r="H16" s="30"/>
      <c r="I16" s="30">
        <f>Process!AE70+Process!AE71</f>
        <v>1</v>
      </c>
      <c r="J16" s="30"/>
      <c r="K16" s="30"/>
    </row>
    <row r="17" spans="3:11" s="13" customFormat="1" x14ac:dyDescent="0.2">
      <c r="C17" s="13" t="s">
        <v>227</v>
      </c>
      <c r="D17" s="43">
        <f>D16+D13</f>
        <v>0.20635662102757671</v>
      </c>
      <c r="E17" s="13" t="s">
        <v>143</v>
      </c>
      <c r="G17" s="19" t="s">
        <v>201</v>
      </c>
      <c r="H17" s="19"/>
      <c r="I17" s="19">
        <f>Process!AN69</f>
        <v>0.99</v>
      </c>
      <c r="J17" s="30"/>
      <c r="K17" s="30"/>
    </row>
    <row r="18" spans="3:11" s="13" customFormat="1" x14ac:dyDescent="0.2">
      <c r="D18" s="43"/>
      <c r="G18" s="19" t="s">
        <v>200</v>
      </c>
      <c r="H18" s="30"/>
      <c r="I18" s="30">
        <f>Process!AV69</f>
        <v>0.7</v>
      </c>
      <c r="J18" s="30"/>
    </row>
    <row r="19" spans="3:11" s="13" customFormat="1" x14ac:dyDescent="0.2">
      <c r="D19" s="43"/>
    </row>
    <row r="20" spans="3:11" s="13" customFormat="1" x14ac:dyDescent="0.2">
      <c r="C20" s="13" t="s">
        <v>228</v>
      </c>
      <c r="D20" s="43">
        <f>D13</f>
        <v>0</v>
      </c>
      <c r="F20" s="13" t="s">
        <v>141</v>
      </c>
      <c r="G20" s="13" t="s">
        <v>230</v>
      </c>
    </row>
    <row r="21" spans="3:11" s="13" customFormat="1" x14ac:dyDescent="0.2">
      <c r="C21" s="13" t="s">
        <v>229</v>
      </c>
      <c r="D21" s="43">
        <f>D16</f>
        <v>0.20635662102757671</v>
      </c>
      <c r="F21" s="13" t="s">
        <v>141</v>
      </c>
      <c r="G21" s="13" t="s">
        <v>231</v>
      </c>
    </row>
    <row r="22" spans="3:11" s="13" customFormat="1" x14ac:dyDescent="0.2">
      <c r="D22" s="43"/>
    </row>
    <row r="23" spans="3:11" s="13" customFormat="1" ht="21" x14ac:dyDescent="0.25">
      <c r="C23" s="48" t="s">
        <v>252</v>
      </c>
      <c r="D23" s="43"/>
    </row>
    <row r="24" spans="3:11" s="13" customFormat="1" x14ac:dyDescent="0.2">
      <c r="D24" s="43"/>
    </row>
    <row r="25" spans="3:11" s="13" customFormat="1" x14ac:dyDescent="0.2">
      <c r="C25" s="13" t="s">
        <v>223</v>
      </c>
      <c r="D25" s="43" t="s">
        <v>2</v>
      </c>
      <c r="E25" s="13" t="s">
        <v>217</v>
      </c>
    </row>
    <row r="26" spans="3:11" s="13" customFormat="1" x14ac:dyDescent="0.2">
      <c r="C26" s="13" t="s">
        <v>197</v>
      </c>
      <c r="D26" s="43">
        <f>(1-I12)*Process!I8/Process!AR8</f>
        <v>9.5691178866380185E-6</v>
      </c>
      <c r="E26" s="43">
        <f>(1-I12)*Process!I8/Process!AR8</f>
        <v>9.5691178866380185E-6</v>
      </c>
      <c r="F26" s="13" t="s">
        <v>141</v>
      </c>
      <c r="I26" s="13" t="s">
        <v>195</v>
      </c>
      <c r="K26" s="13" t="s">
        <v>232</v>
      </c>
    </row>
    <row r="27" spans="3:11" s="13" customFormat="1" x14ac:dyDescent="0.2">
      <c r="C27" s="13" t="s">
        <v>198</v>
      </c>
      <c r="D27" s="43">
        <f>(1-I13)*Process!I9/Process!AR7</f>
        <v>2.213308843223722E-3</v>
      </c>
      <c r="E27" s="43">
        <f>(1-I13)*Process!I9/Process!AR7</f>
        <v>2.213308843223722E-3</v>
      </c>
      <c r="F27" s="13" t="s">
        <v>141</v>
      </c>
      <c r="I27" s="13" t="s">
        <v>229</v>
      </c>
      <c r="K27" s="13" t="s">
        <v>233</v>
      </c>
    </row>
    <row r="28" spans="3:11" s="13" customFormat="1" x14ac:dyDescent="0.2">
      <c r="C28" s="13" t="s">
        <v>85</v>
      </c>
      <c r="D28" s="43">
        <f>IF(Process!B8=1,(1-I14)*Process!G22/Process!AR8,0)</f>
        <v>5.4675205570572291E-5</v>
      </c>
      <c r="E28" s="43"/>
      <c r="F28" s="13" t="s">
        <v>141</v>
      </c>
      <c r="I28" s="13" t="s">
        <v>215</v>
      </c>
      <c r="K28" s="13" t="s">
        <v>234</v>
      </c>
    </row>
    <row r="29" spans="3:11" s="13" customFormat="1" x14ac:dyDescent="0.2">
      <c r="C29" s="13" t="s">
        <v>87</v>
      </c>
      <c r="D29" s="43">
        <f>IF(Process!B7=1,(1-I15)*Process!G22/Process!AR8,0)</f>
        <v>0</v>
      </c>
      <c r="E29" s="43"/>
      <c r="F29" s="13" t="s">
        <v>141</v>
      </c>
    </row>
    <row r="30" spans="3:11" s="13" customFormat="1" x14ac:dyDescent="0.2">
      <c r="C30" s="1" t="s">
        <v>2</v>
      </c>
      <c r="D30" s="43">
        <f>(1-I16)*(Process!O8+Process!K22+Process!L30)/Process!AR7</f>
        <v>0</v>
      </c>
      <c r="E30" s="30"/>
      <c r="F30" s="13" t="s">
        <v>141</v>
      </c>
    </row>
    <row r="31" spans="3:11" s="13" customFormat="1" x14ac:dyDescent="0.2">
      <c r="C31" s="13" t="s">
        <v>201</v>
      </c>
      <c r="D31" s="43"/>
      <c r="E31" s="43">
        <f>(1-I17)*(Process!G22*(1/Process!AR8)+Process!O8*(1/Process!AR7))</f>
        <v>2.0413374306646657E-3</v>
      </c>
      <c r="F31" s="13" t="s">
        <v>141</v>
      </c>
    </row>
    <row r="32" spans="3:11" s="13" customFormat="1" x14ac:dyDescent="0.2">
      <c r="C32" s="1" t="s">
        <v>200</v>
      </c>
      <c r="D32" s="43"/>
      <c r="E32" s="43">
        <f>(1-I18)*Process!R12/Process!AR11</f>
        <v>0</v>
      </c>
      <c r="F32" s="13" t="s">
        <v>141</v>
      </c>
    </row>
    <row r="33" spans="3:8" s="13" customFormat="1" x14ac:dyDescent="0.2">
      <c r="C33" s="13" t="s">
        <v>3</v>
      </c>
      <c r="D33" s="43">
        <f>Process!S27*Process!AE70/Process!AR9*11</f>
        <v>0.12471498591499187</v>
      </c>
      <c r="E33" s="43">
        <f>Process!W16/Process!AR9*11</f>
        <v>0</v>
      </c>
      <c r="F33" s="13" t="s">
        <v>141</v>
      </c>
    </row>
    <row r="34" spans="3:8" s="13" customFormat="1" x14ac:dyDescent="0.2">
      <c r="C34" s="13" t="s">
        <v>25</v>
      </c>
      <c r="D34" s="43">
        <f>Process!S27*Process!AE71/Process!AR9*11</f>
        <v>7.93640819459039E-2</v>
      </c>
      <c r="E34" s="43"/>
      <c r="F34" s="13" t="s">
        <v>141</v>
      </c>
    </row>
    <row r="35" spans="3:8" s="13" customFormat="1" x14ac:dyDescent="0.2">
      <c r="C35" s="13" t="s">
        <v>224</v>
      </c>
      <c r="D35" s="43">
        <f>SUM(D33:D34)+SUM(D26:D30)</f>
        <v>0.20635662102757671</v>
      </c>
      <c r="E35" s="43">
        <f>SUM(E31:E33)+SUM(E26:E27)</f>
        <v>4.2642153917750256E-3</v>
      </c>
      <c r="F35" s="13" t="s">
        <v>141</v>
      </c>
    </row>
    <row r="36" spans="3:8" s="13" customFormat="1" x14ac:dyDescent="0.2">
      <c r="D36" s="43">
        <f>(D34+D33)/D17</f>
        <v>0.98896302354952514</v>
      </c>
      <c r="E36" s="43">
        <f>E33/D17</f>
        <v>0</v>
      </c>
      <c r="F36" s="13" t="s">
        <v>226</v>
      </c>
    </row>
    <row r="37" spans="3:8" s="13" customFormat="1" x14ac:dyDescent="0.2">
      <c r="C37" s="13" t="s">
        <v>251</v>
      </c>
      <c r="D37" s="43">
        <f>D35/D17</f>
        <v>1</v>
      </c>
      <c r="E37" s="43">
        <f>E35/D17</f>
        <v>2.0664301298116198E-2</v>
      </c>
    </row>
    <row r="38" spans="3:8" s="13" customFormat="1" x14ac:dyDescent="0.2">
      <c r="C38" s="13" t="s">
        <v>52</v>
      </c>
      <c r="D38" s="43">
        <f>D17*Process!$AR$8</f>
        <v>9.0796913252133749</v>
      </c>
      <c r="E38" s="13" t="s">
        <v>98</v>
      </c>
    </row>
    <row r="39" spans="3:8" s="13" customFormat="1" x14ac:dyDescent="0.2">
      <c r="H39" s="27">
        <f>((Process!K22+Process!L30)*(Process!C22/(Process!E12+Process!C22)))/(11*Process!AR7)*Process!AR9</f>
        <v>0</v>
      </c>
    </row>
    <row r="40" spans="3:8" s="13" customFormat="1" ht="21" x14ac:dyDescent="0.25">
      <c r="C40" s="48" t="s">
        <v>253</v>
      </c>
      <c r="D40" s="43"/>
    </row>
    <row r="41" spans="3:8" s="13" customFormat="1" x14ac:dyDescent="0.2">
      <c r="D41" s="43"/>
    </row>
    <row r="42" spans="3:8" s="13" customFormat="1" x14ac:dyDescent="0.2">
      <c r="C42" s="119"/>
      <c r="D42" s="119" t="s">
        <v>479</v>
      </c>
      <c r="E42" s="119" t="s">
        <v>236</v>
      </c>
      <c r="F42" s="119" t="s">
        <v>237</v>
      </c>
      <c r="G42" s="43" t="s">
        <v>249</v>
      </c>
    </row>
    <row r="43" spans="3:8" s="13" customFormat="1" x14ac:dyDescent="0.2">
      <c r="C43" s="119" t="s">
        <v>3</v>
      </c>
      <c r="D43" s="120">
        <f>E43+((Process!K22+Process!L30)*(Process!C22/(Process!E12+Process!C22)))/(11*Process!AR7)*Process!AR9*Process!AE70/Process!AR9*11*Process!$AR$8</f>
        <v>5.4874593802596427</v>
      </c>
      <c r="E43" s="120">
        <f>((Process!K22+Process!L30)*(Process!E12/(Process!E12+Process!C22))+Process!O8)/(11*Process!AR7)*Process!AR9*Process!AE70/Process!AR9*11*Process!$AR$8</f>
        <v>5.4874593802596427</v>
      </c>
      <c r="F43" s="120">
        <f>E33*Process!$AR$8</f>
        <v>0</v>
      </c>
      <c r="G43" s="43">
        <f>F43</f>
        <v>0</v>
      </c>
      <c r="H43" s="13" t="s">
        <v>238</v>
      </c>
    </row>
    <row r="44" spans="3:8" s="13" customFormat="1" x14ac:dyDescent="0.2">
      <c r="C44" s="119" t="s">
        <v>25</v>
      </c>
      <c r="D44" s="120">
        <f>E44+((Process!K22+Process!L30)*(Process!C22/(Process!E12+Process!C22)))/(11*Process!AR7)*Process!AR9*Process!AE71/Process!AR9*11*Process!$AR$8</f>
        <v>3.4920196056197716</v>
      </c>
      <c r="E44" s="120">
        <f>((Process!K22+Process!L30)*(Process!E12/(Process!E12+Process!C22))+Process!O8)/(11*Process!AR7)*Process!AR9*Process!AE71/Process!AR9*11*Process!$AR$8</f>
        <v>3.4920196056197716</v>
      </c>
      <c r="F44" s="120"/>
      <c r="G44" s="43"/>
      <c r="H44" s="13" t="s">
        <v>238</v>
      </c>
    </row>
    <row r="45" spans="3:8" s="13" customFormat="1" x14ac:dyDescent="0.2">
      <c r="C45" s="119" t="s">
        <v>195</v>
      </c>
      <c r="D45" s="120"/>
      <c r="E45" s="120">
        <f>-D13*Process!$AR$8</f>
        <v>0</v>
      </c>
      <c r="F45" s="120">
        <f>-D13*Process!$AR$8</f>
        <v>0</v>
      </c>
      <c r="G45" s="43"/>
      <c r="H45" s="13" t="s">
        <v>238</v>
      </c>
    </row>
    <row r="46" spans="3:8" s="13" customFormat="1" x14ac:dyDescent="0.2">
      <c r="C46" s="119" t="s">
        <v>247</v>
      </c>
      <c r="D46" s="120">
        <f>IF(Process!B6=1,Tata_gases!C54,0)</f>
        <v>4.2104118701211917</v>
      </c>
      <c r="E46" s="120">
        <f>D26*Process!$AR$8+(4.21-Process!I8)</f>
        <v>9.1710658203686163E-6</v>
      </c>
      <c r="F46" s="120">
        <f>E26*Process!$AR$8</f>
        <v>4.210411870120728E-4</v>
      </c>
      <c r="G46" s="43">
        <f>IF(Process!B5=1,Tata_gases!C54,0)</f>
        <v>0</v>
      </c>
      <c r="H46" s="13" t="s">
        <v>238</v>
      </c>
    </row>
    <row r="47" spans="3:8" s="13" customFormat="1" x14ac:dyDescent="0.2">
      <c r="C47" s="119" t="s">
        <v>248</v>
      </c>
      <c r="D47" s="120">
        <f>IF(Process!B6=1,Tata_gases!C53*(Process!AR8/Process!AR7),0)</f>
        <v>4.8692794550921841</v>
      </c>
      <c r="E47" s="120">
        <f>IF(Process!B6=1,D27*Process!$AR$8+(4.87-Process!I9*Process!AR8/Process!AR7),0)</f>
        <v>9.8106134009659798E-2</v>
      </c>
      <c r="F47" s="120">
        <f>IF(Process!B5=1,E27*Process!$AR$8,0)</f>
        <v>0</v>
      </c>
      <c r="G47" s="43">
        <f>IF(Process!B5=1,Tata_gases!C53*(Process!AR8/Process!AR7),0)</f>
        <v>0</v>
      </c>
      <c r="H47" s="13" t="s">
        <v>238</v>
      </c>
    </row>
    <row r="48" spans="3:8" s="13" customFormat="1" x14ac:dyDescent="0.2">
      <c r="C48" s="119" t="s">
        <v>85</v>
      </c>
      <c r="D48" s="120"/>
      <c r="E48" s="120">
        <f>D28*Process!$AR$8</f>
        <v>2.4057090451051807E-3</v>
      </c>
      <c r="F48" s="120"/>
      <c r="G48" s="43"/>
      <c r="H48" s="13" t="s">
        <v>238</v>
      </c>
    </row>
    <row r="49" spans="1:8" s="13" customFormat="1" x14ac:dyDescent="0.2">
      <c r="C49" s="119" t="s">
        <v>87</v>
      </c>
      <c r="D49" s="120"/>
      <c r="E49" s="120">
        <f>D29*Process!$AR$8</f>
        <v>0</v>
      </c>
      <c r="F49" s="120"/>
      <c r="G49" s="43"/>
      <c r="H49" s="13" t="s">
        <v>238</v>
      </c>
    </row>
    <row r="50" spans="1:8" s="13" customFormat="1" x14ac:dyDescent="0.2">
      <c r="C50" s="121" t="s">
        <v>2</v>
      </c>
      <c r="D50" s="120"/>
      <c r="E50" s="120">
        <f>D30*Process!$AR$8</f>
        <v>0</v>
      </c>
      <c r="F50" s="120"/>
      <c r="G50" s="43"/>
      <c r="H50" s="13" t="s">
        <v>238</v>
      </c>
    </row>
    <row r="51" spans="1:8" s="13" customFormat="1" x14ac:dyDescent="0.2">
      <c r="C51" s="119" t="s">
        <v>120</v>
      </c>
      <c r="D51" s="120"/>
      <c r="E51" s="120"/>
      <c r="F51" s="120">
        <f>IF(Process!B5=1,E31*Process!$AR$8,0)</f>
        <v>0</v>
      </c>
      <c r="G51" s="43"/>
      <c r="H51" s="13" t="s">
        <v>238</v>
      </c>
    </row>
    <row r="52" spans="1:8" s="13" customFormat="1" x14ac:dyDescent="0.2">
      <c r="C52" s="121" t="s">
        <v>129</v>
      </c>
      <c r="D52" s="120"/>
      <c r="E52" s="120"/>
      <c r="F52" s="120">
        <f>E32*Process!$AR$8</f>
        <v>0</v>
      </c>
      <c r="G52" s="43"/>
      <c r="H52" s="13" t="s">
        <v>238</v>
      </c>
    </row>
    <row r="53" spans="1:8" s="13" customFormat="1" x14ac:dyDescent="0.2">
      <c r="C53" s="121" t="s">
        <v>235</v>
      </c>
      <c r="D53" s="120"/>
      <c r="E53" s="120"/>
      <c r="F53" s="120"/>
      <c r="G53" s="43"/>
      <c r="H53" s="13" t="s">
        <v>238</v>
      </c>
    </row>
    <row r="54" spans="1:8" s="13" customFormat="1" x14ac:dyDescent="0.2">
      <c r="A54" s="47"/>
      <c r="C54" s="121" t="s">
        <v>559</v>
      </c>
      <c r="D54" s="120">
        <f>(D91/D85-1)*D43+D94/100*D44</f>
        <v>1.9822391730537907</v>
      </c>
      <c r="E54" s="120"/>
      <c r="F54" s="120"/>
      <c r="G54" s="43">
        <f>(D91/D85-1)*G43</f>
        <v>0</v>
      </c>
    </row>
    <row r="55" spans="1:8" s="13" customFormat="1" x14ac:dyDescent="0.2">
      <c r="A55" s="47"/>
      <c r="C55" s="119" t="s">
        <v>224</v>
      </c>
      <c r="D55" s="120">
        <f>SUM(D43:D54)</f>
        <v>20.04140948414658</v>
      </c>
      <c r="E55" s="120">
        <f>SUM(E43:E54)-E45</f>
        <v>9.0799999999999983</v>
      </c>
      <c r="F55" s="120">
        <f>SUM(F43:F54)-F45</f>
        <v>4.210411870120728E-4</v>
      </c>
      <c r="G55" s="43">
        <f>SUM(G43:G54)</f>
        <v>0</v>
      </c>
      <c r="H55" s="13" t="s">
        <v>238</v>
      </c>
    </row>
    <row r="56" spans="1:8" s="13" customFormat="1" x14ac:dyDescent="0.2">
      <c r="C56" s="13" t="s">
        <v>477</v>
      </c>
      <c r="E56" s="43">
        <f>E55</f>
        <v>9.0799999999999983</v>
      </c>
      <c r="F56" s="43">
        <f>IF(Process!B5=1,SUM(F43:F52),0)</f>
        <v>0</v>
      </c>
    </row>
    <row r="57" spans="1:8" s="13" customFormat="1" x14ac:dyDescent="0.2"/>
    <row r="58" spans="1:8" s="13" customFormat="1" x14ac:dyDescent="0.2"/>
    <row r="59" spans="1:8" s="13" customFormat="1" ht="34" customHeight="1" x14ac:dyDescent="0.25">
      <c r="C59" s="48" t="s">
        <v>596</v>
      </c>
    </row>
    <row r="60" spans="1:8" s="13" customFormat="1" x14ac:dyDescent="0.2"/>
    <row r="61" spans="1:8" s="13" customFormat="1" x14ac:dyDescent="0.2">
      <c r="C61" s="13" t="s">
        <v>254</v>
      </c>
    </row>
    <row r="62" spans="1:8" s="13" customFormat="1" x14ac:dyDescent="0.2">
      <c r="C62" s="13" t="s">
        <v>245</v>
      </c>
    </row>
    <row r="63" spans="1:8" s="13" customFormat="1" x14ac:dyDescent="0.2">
      <c r="D63" s="43">
        <f>1/Process!AR9*Process!AR8*11</f>
        <v>3.0987502560950624</v>
      </c>
      <c r="E63" s="13" t="s">
        <v>241</v>
      </c>
    </row>
    <row r="64" spans="1:8" s="13" customFormat="1" x14ac:dyDescent="0.2">
      <c r="D64" s="43">
        <f>D63*(F56/(F55))</f>
        <v>0</v>
      </c>
      <c r="E64" s="13" t="s">
        <v>242</v>
      </c>
    </row>
    <row r="65" spans="3:12" s="13" customFormat="1" x14ac:dyDescent="0.2">
      <c r="D65" s="74">
        <f>D64/D63</f>
        <v>0</v>
      </c>
      <c r="E65" s="13" t="s">
        <v>243</v>
      </c>
    </row>
    <row r="66" spans="3:12" s="13" customFormat="1" x14ac:dyDescent="0.2">
      <c r="C66" s="13" t="s">
        <v>244</v>
      </c>
      <c r="D66" s="43"/>
    </row>
    <row r="67" spans="3:12" s="13" customFormat="1" x14ac:dyDescent="0.2">
      <c r="D67" s="43">
        <f>IF(Process!W16&gt;0,(G55)/Process!W16,0)</f>
        <v>0</v>
      </c>
      <c r="E67" s="13" t="s">
        <v>240</v>
      </c>
    </row>
    <row r="68" spans="3:12" s="13" customFormat="1" x14ac:dyDescent="0.2">
      <c r="D68" s="43">
        <f>IF(Process!W16&gt;0,F56/Process!W16,0)</f>
        <v>0</v>
      </c>
      <c r="E68" s="13" t="s">
        <v>239</v>
      </c>
    </row>
    <row r="69" spans="3:12" s="13" customFormat="1" x14ac:dyDescent="0.2">
      <c r="D69" s="73">
        <f>IF(D68&gt;0,D68/D67,0)</f>
        <v>0</v>
      </c>
      <c r="E69" s="13" t="s">
        <v>243</v>
      </c>
    </row>
    <row r="70" spans="3:12" s="13" customFormat="1" x14ac:dyDescent="0.2"/>
    <row r="71" spans="3:12" s="13" customFormat="1" x14ac:dyDescent="0.2"/>
    <row r="72" spans="3:12" s="13" customFormat="1" x14ac:dyDescent="0.2">
      <c r="C72" s="13" t="s">
        <v>478</v>
      </c>
    </row>
    <row r="73" spans="3:12" s="13" customFormat="1" x14ac:dyDescent="0.2">
      <c r="C73" s="13" t="s">
        <v>245</v>
      </c>
    </row>
    <row r="74" spans="3:12" s="13" customFormat="1" x14ac:dyDescent="0.2">
      <c r="D74" s="43">
        <f>1/Process!AR9*Process!AR8*11</f>
        <v>3.0987502560950624</v>
      </c>
      <c r="E74" s="13" t="s">
        <v>241</v>
      </c>
    </row>
    <row r="75" spans="3:12" s="13" customFormat="1" x14ac:dyDescent="0.2">
      <c r="D75" s="43">
        <f>D74*E56/E55</f>
        <v>3.0987502560950624</v>
      </c>
      <c r="E75" s="13" t="s">
        <v>242</v>
      </c>
    </row>
    <row r="76" spans="3:12" s="13" customFormat="1" x14ac:dyDescent="0.2">
      <c r="D76" s="74">
        <f>D75/D74</f>
        <v>1</v>
      </c>
      <c r="E76" s="13" t="s">
        <v>243</v>
      </c>
    </row>
    <row r="77" spans="3:12" s="13" customFormat="1" x14ac:dyDescent="0.2">
      <c r="C77" s="13" t="s">
        <v>244</v>
      </c>
      <c r="D77" s="43"/>
      <c r="J77" s="119"/>
      <c r="K77" s="119"/>
      <c r="L77" s="119"/>
    </row>
    <row r="78" spans="3:12" s="13" customFormat="1" x14ac:dyDescent="0.2">
      <c r="D78" s="43">
        <f>(D55)/(Process!S27*Process!AE70)</f>
        <v>11.317317991439378</v>
      </c>
      <c r="E78" s="13" t="s">
        <v>240</v>
      </c>
      <c r="J78" s="119"/>
      <c r="K78" s="119"/>
      <c r="L78" s="119"/>
    </row>
    <row r="79" spans="3:12" s="13" customFormat="1" x14ac:dyDescent="0.2">
      <c r="D79" s="120">
        <f>(E56)/(Process!S27*Process!AE70)</f>
        <v>5.127446123165992</v>
      </c>
      <c r="E79" s="13" t="s">
        <v>239</v>
      </c>
      <c r="J79" s="119"/>
      <c r="K79" s="119"/>
      <c r="L79" s="119"/>
    </row>
    <row r="80" spans="3:12" s="13" customFormat="1" x14ac:dyDescent="0.2">
      <c r="D80" s="73">
        <f>D79/D78</f>
        <v>0.4530619469245703</v>
      </c>
      <c r="E80" s="13" t="s">
        <v>243</v>
      </c>
      <c r="J80" s="119"/>
      <c r="K80" s="119"/>
      <c r="L80" s="119"/>
    </row>
    <row r="81" spans="3:12" s="13" customFormat="1" x14ac:dyDescent="0.2">
      <c r="J81" s="119"/>
      <c r="K81" s="119"/>
      <c r="L81" s="119"/>
    </row>
    <row r="82" spans="3:12" s="13" customFormat="1" x14ac:dyDescent="0.2"/>
    <row r="83" spans="3:12" s="13" customFormat="1" x14ac:dyDescent="0.2">
      <c r="C83" s="43"/>
    </row>
    <row r="84" spans="3:12" s="13" customFormat="1" x14ac:dyDescent="0.2">
      <c r="C84" s="13" t="s">
        <v>526</v>
      </c>
      <c r="D84" s="13">
        <v>43.5</v>
      </c>
      <c r="E84" s="13" t="s">
        <v>218</v>
      </c>
    </row>
    <row r="85" spans="3:12" s="13" customFormat="1" x14ac:dyDescent="0.2">
      <c r="C85" s="13" t="s">
        <v>401</v>
      </c>
      <c r="D85" s="13">
        <v>71.5</v>
      </c>
      <c r="E85" s="13" t="s">
        <v>373</v>
      </c>
      <c r="F85" s="13" t="s">
        <v>375</v>
      </c>
    </row>
    <row r="86" spans="3:12" s="13" customFormat="1" x14ac:dyDescent="0.2">
      <c r="D86" s="13">
        <f>D84*D85/1000</f>
        <v>3.1102500000000002</v>
      </c>
      <c r="E86" s="13" t="s">
        <v>374</v>
      </c>
      <c r="F86" s="13" t="s">
        <v>402</v>
      </c>
    </row>
    <row r="87" spans="3:12" s="13" customFormat="1" x14ac:dyDescent="0.2"/>
    <row r="88" spans="3:12" s="13" customFormat="1" x14ac:dyDescent="0.2">
      <c r="C88" s="23" t="s">
        <v>553</v>
      </c>
    </row>
    <row r="89" spans="3:12" s="13" customFormat="1" x14ac:dyDescent="0.2"/>
    <row r="90" spans="3:12" s="13" customFormat="1" x14ac:dyDescent="0.2">
      <c r="C90" s="23" t="s">
        <v>398</v>
      </c>
    </row>
    <row r="91" spans="3:12" s="13" customFormat="1" x14ac:dyDescent="0.2">
      <c r="C91" s="13" t="s">
        <v>376</v>
      </c>
      <c r="D91" s="13">
        <v>87.5</v>
      </c>
      <c r="E91" s="13" t="s">
        <v>373</v>
      </c>
      <c r="F91" s="13" t="s">
        <v>399</v>
      </c>
    </row>
    <row r="92" spans="3:12" s="13" customFormat="1" x14ac:dyDescent="0.2">
      <c r="C92" s="13" t="s">
        <v>377</v>
      </c>
      <c r="D92" s="13">
        <v>88.6</v>
      </c>
      <c r="E92" s="13" t="s">
        <v>373</v>
      </c>
      <c r="F92" s="13" t="s">
        <v>400</v>
      </c>
    </row>
    <row r="93" spans="3:12" s="13" customFormat="1" x14ac:dyDescent="0.2"/>
    <row r="94" spans="3:12" s="13" customFormat="1" x14ac:dyDescent="0.2">
      <c r="C94" s="23" t="s">
        <v>554</v>
      </c>
      <c r="D94" s="13">
        <v>21.6</v>
      </c>
      <c r="E94" s="13" t="s">
        <v>373</v>
      </c>
      <c r="F94" s="13" t="s">
        <v>400</v>
      </c>
    </row>
    <row r="95" spans="3:12" s="13" customFormat="1" x14ac:dyDescent="0.2">
      <c r="C95" s="13" t="s">
        <v>560</v>
      </c>
    </row>
    <row r="96" spans="3:12" s="13" customFormat="1" x14ac:dyDescent="0.2"/>
    <row r="97" s="13" customFormat="1" x14ac:dyDescent="0.2"/>
    <row r="98" s="13" customFormat="1" x14ac:dyDescent="0.2"/>
    <row r="99" s="13" customFormat="1" x14ac:dyDescent="0.2"/>
    <row r="100" s="13" customFormat="1" x14ac:dyDescent="0.2"/>
    <row r="101" s="13" customFormat="1" x14ac:dyDescent="0.2"/>
    <row r="102" s="13" customFormat="1" x14ac:dyDescent="0.2"/>
    <row r="103" s="13" customFormat="1" x14ac:dyDescent="0.2"/>
    <row r="104" s="13" customFormat="1" x14ac:dyDescent="0.2"/>
    <row r="105" s="13" customFormat="1" x14ac:dyDescent="0.2"/>
    <row r="106" s="13" customFormat="1" x14ac:dyDescent="0.2"/>
    <row r="107" s="13" customFormat="1" x14ac:dyDescent="0.2"/>
    <row r="108" s="13" customFormat="1" x14ac:dyDescent="0.2"/>
    <row r="109" s="13" customFormat="1" x14ac:dyDescent="0.2"/>
    <row r="110" s="13" customFormat="1" x14ac:dyDescent="0.2"/>
    <row r="111" s="13" customFormat="1" x14ac:dyDescent="0.2"/>
    <row r="112" s="13" customFormat="1" x14ac:dyDescent="0.2"/>
    <row r="113" s="13" customFormat="1" x14ac:dyDescent="0.2"/>
    <row r="114" s="13" customFormat="1" x14ac:dyDescent="0.2"/>
    <row r="115" s="13" customFormat="1" x14ac:dyDescent="0.2"/>
    <row r="116" s="13" customFormat="1" x14ac:dyDescent="0.2"/>
    <row r="117" s="13" customFormat="1" x14ac:dyDescent="0.2"/>
    <row r="118" s="13" customFormat="1" x14ac:dyDescent="0.2"/>
    <row r="119" s="13" customFormat="1" x14ac:dyDescent="0.2"/>
    <row r="120" s="13" customFormat="1" x14ac:dyDescent="0.2"/>
    <row r="121" s="13" customFormat="1" x14ac:dyDescent="0.2"/>
    <row r="122" s="13" customFormat="1" x14ac:dyDescent="0.2"/>
    <row r="123" s="13" customFormat="1" x14ac:dyDescent="0.2"/>
    <row r="124" s="13" customFormat="1" x14ac:dyDescent="0.2"/>
    <row r="125" s="13" customFormat="1" x14ac:dyDescent="0.2"/>
    <row r="126" s="13" customFormat="1" x14ac:dyDescent="0.2"/>
    <row r="127" s="13" customFormat="1" x14ac:dyDescent="0.2"/>
    <row r="128" s="13" customFormat="1" x14ac:dyDescent="0.2"/>
    <row r="129" s="13" customFormat="1" x14ac:dyDescent="0.2"/>
    <row r="130" s="13" customFormat="1" x14ac:dyDescent="0.2"/>
    <row r="131" s="13" customFormat="1" x14ac:dyDescent="0.2"/>
    <row r="132" s="13" customFormat="1" x14ac:dyDescent="0.2"/>
    <row r="133" s="13" customFormat="1" x14ac:dyDescent="0.2"/>
    <row r="134" s="13" customFormat="1" x14ac:dyDescent="0.2"/>
    <row r="135" s="13" customFormat="1" x14ac:dyDescent="0.2"/>
    <row r="136" s="13" customFormat="1" x14ac:dyDescent="0.2"/>
    <row r="137" s="13" customFormat="1" x14ac:dyDescent="0.2"/>
    <row r="138" s="13" customFormat="1" x14ac:dyDescent="0.2"/>
    <row r="139" s="13" customFormat="1" x14ac:dyDescent="0.2"/>
    <row r="140" s="13" customFormat="1" x14ac:dyDescent="0.2"/>
    <row r="141" s="13" customFormat="1" x14ac:dyDescent="0.2"/>
    <row r="142" s="13" customFormat="1" x14ac:dyDescent="0.2"/>
    <row r="143" s="13" customFormat="1" x14ac:dyDescent="0.2"/>
    <row r="144" s="13" customFormat="1" x14ac:dyDescent="0.2"/>
    <row r="145" s="13" customFormat="1" x14ac:dyDescent="0.2"/>
    <row r="146" s="13" customFormat="1" x14ac:dyDescent="0.2"/>
    <row r="147" s="13" customFormat="1" x14ac:dyDescent="0.2"/>
    <row r="148" s="13" customFormat="1" x14ac:dyDescent="0.2"/>
    <row r="149" s="13" customFormat="1" x14ac:dyDescent="0.2"/>
    <row r="150" s="13" customFormat="1" x14ac:dyDescent="0.2"/>
    <row r="151" s="13" customFormat="1" x14ac:dyDescent="0.2"/>
    <row r="152" s="13" customFormat="1" x14ac:dyDescent="0.2"/>
    <row r="153" s="13" customFormat="1" x14ac:dyDescent="0.2"/>
    <row r="154" s="13" customFormat="1" x14ac:dyDescent="0.2"/>
    <row r="155" s="13" customFormat="1" x14ac:dyDescent="0.2"/>
    <row r="156" s="13" customFormat="1" x14ac:dyDescent="0.2"/>
    <row r="157" s="13" customFormat="1" x14ac:dyDescent="0.2"/>
    <row r="158" s="13" customFormat="1" x14ac:dyDescent="0.2"/>
    <row r="159" s="13" customFormat="1" x14ac:dyDescent="0.2"/>
    <row r="160" s="13" customFormat="1" x14ac:dyDescent="0.2"/>
    <row r="161" s="13" customFormat="1" x14ac:dyDescent="0.2"/>
    <row r="162" s="13" customFormat="1" x14ac:dyDescent="0.2"/>
    <row r="163" s="13" customFormat="1" x14ac:dyDescent="0.2"/>
    <row r="164" s="13" customFormat="1" x14ac:dyDescent="0.2"/>
    <row r="165" s="13" customFormat="1" x14ac:dyDescent="0.2"/>
    <row r="166" s="13" customFormat="1" x14ac:dyDescent="0.2"/>
    <row r="167" s="13" customFormat="1" x14ac:dyDescent="0.2"/>
    <row r="168" s="13" customFormat="1" x14ac:dyDescent="0.2"/>
    <row r="169" s="13" customFormat="1" x14ac:dyDescent="0.2"/>
    <row r="170" s="13" customFormat="1" x14ac:dyDescent="0.2"/>
    <row r="171" s="13" customFormat="1" x14ac:dyDescent="0.2"/>
    <row r="172" s="13" customFormat="1" x14ac:dyDescent="0.2"/>
    <row r="173" s="13" customFormat="1" x14ac:dyDescent="0.2"/>
    <row r="174" s="13" customFormat="1" x14ac:dyDescent="0.2"/>
    <row r="175" s="13" customFormat="1" x14ac:dyDescent="0.2"/>
    <row r="176" s="13" customFormat="1" x14ac:dyDescent="0.2"/>
    <row r="177" s="13" customFormat="1" x14ac:dyDescent="0.2"/>
    <row r="178" s="13" customFormat="1" x14ac:dyDescent="0.2"/>
    <row r="179" s="13" customFormat="1" x14ac:dyDescent="0.2"/>
    <row r="180" s="13" customFormat="1" x14ac:dyDescent="0.2"/>
    <row r="181" s="13" customFormat="1" x14ac:dyDescent="0.2"/>
    <row r="182" s="13" customFormat="1" x14ac:dyDescent="0.2"/>
    <row r="183" s="13" customFormat="1" x14ac:dyDescent="0.2"/>
    <row r="184" s="13" customFormat="1" x14ac:dyDescent="0.2"/>
    <row r="185" s="13" customFormat="1" x14ac:dyDescent="0.2"/>
    <row r="186" s="13" customFormat="1" x14ac:dyDescent="0.2"/>
    <row r="187" s="13" customFormat="1" x14ac:dyDescent="0.2"/>
    <row r="188" s="13" customFormat="1" x14ac:dyDescent="0.2"/>
    <row r="189" s="13" customFormat="1" x14ac:dyDescent="0.2"/>
    <row r="190" s="13" customFormat="1" x14ac:dyDescent="0.2"/>
    <row r="191" s="13" customFormat="1" x14ac:dyDescent="0.2"/>
    <row r="192" s="13" customFormat="1" x14ac:dyDescent="0.2"/>
    <row r="193" s="13" customFormat="1" x14ac:dyDescent="0.2"/>
    <row r="194" s="13" customFormat="1" x14ac:dyDescent="0.2"/>
    <row r="195" s="13" customFormat="1" x14ac:dyDescent="0.2"/>
    <row r="196" s="13" customFormat="1" x14ac:dyDescent="0.2"/>
    <row r="197" s="13" customFormat="1" x14ac:dyDescent="0.2"/>
    <row r="198" s="13" customFormat="1" x14ac:dyDescent="0.2"/>
    <row r="199" s="13" customFormat="1" x14ac:dyDescent="0.2"/>
    <row r="200" s="13" customFormat="1" x14ac:dyDescent="0.2"/>
    <row r="201" s="13" customFormat="1" x14ac:dyDescent="0.2"/>
    <row r="202" s="13" customFormat="1" x14ac:dyDescent="0.2"/>
    <row r="203" s="13" customFormat="1" x14ac:dyDescent="0.2"/>
    <row r="204" s="13" customFormat="1" x14ac:dyDescent="0.2"/>
    <row r="205" s="13" customFormat="1" x14ac:dyDescent="0.2"/>
    <row r="206" s="13" customFormat="1" x14ac:dyDescent="0.2"/>
    <row r="207" s="13" customFormat="1" x14ac:dyDescent="0.2"/>
    <row r="208" s="13" customFormat="1" x14ac:dyDescent="0.2"/>
    <row r="209" s="13" customFormat="1" x14ac:dyDescent="0.2"/>
    <row r="210" s="13" customFormat="1" x14ac:dyDescent="0.2"/>
    <row r="211" s="13" customFormat="1" x14ac:dyDescent="0.2"/>
    <row r="212" s="13" customFormat="1" x14ac:dyDescent="0.2"/>
    <row r="213" s="13" customFormat="1" x14ac:dyDescent="0.2"/>
    <row r="214" s="13" customFormat="1" x14ac:dyDescent="0.2"/>
    <row r="215" s="13" customFormat="1" x14ac:dyDescent="0.2"/>
    <row r="216" s="13" customFormat="1" x14ac:dyDescent="0.2"/>
    <row r="217" s="13" customFormat="1" x14ac:dyDescent="0.2"/>
    <row r="218" s="13" customFormat="1" x14ac:dyDescent="0.2"/>
    <row r="219" s="13" customFormat="1" x14ac:dyDescent="0.2"/>
    <row r="220" s="13" customFormat="1" x14ac:dyDescent="0.2"/>
    <row r="221" s="13" customFormat="1" x14ac:dyDescent="0.2"/>
    <row r="222" s="13" customFormat="1" x14ac:dyDescent="0.2"/>
    <row r="223" s="13" customFormat="1" x14ac:dyDescent="0.2"/>
    <row r="224" s="13" customFormat="1" x14ac:dyDescent="0.2"/>
    <row r="225" s="13" customFormat="1" x14ac:dyDescent="0.2"/>
    <row r="226" s="13" customFormat="1" x14ac:dyDescent="0.2"/>
    <row r="227" s="13" customFormat="1" x14ac:dyDescent="0.2"/>
    <row r="228" s="13" customFormat="1" x14ac:dyDescent="0.2"/>
  </sheetData>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AL247"/>
  <sheetViews>
    <sheetView workbookViewId="0"/>
  </sheetViews>
  <sheetFormatPr baseColWidth="10" defaultRowHeight="16" x14ac:dyDescent="0.2"/>
  <cols>
    <col min="2" max="2" width="19.1640625" customWidth="1"/>
    <col min="9" max="9" width="12.1640625" bestFit="1" customWidth="1"/>
  </cols>
  <sheetData>
    <row r="1" spans="1:3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row>
    <row r="2" spans="1:38" ht="21" x14ac:dyDescent="0.25">
      <c r="A2" s="13"/>
      <c r="B2" s="48" t="s">
        <v>387</v>
      </c>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row>
    <row r="3" spans="1:38" x14ac:dyDescent="0.2">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row>
    <row r="4" spans="1:38" x14ac:dyDescent="0.2">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x14ac:dyDescent="0.2">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row>
    <row r="6" spans="1:38" x14ac:dyDescent="0.2">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row>
    <row r="7" spans="1:38" x14ac:dyDescent="0.2">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row>
    <row r="8" spans="1:38" x14ac:dyDescent="0.2">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x14ac:dyDescent="0.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row>
    <row r="10" spans="1:38" x14ac:dyDescent="0.2">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x14ac:dyDescent="0.2">
      <c r="A12" s="13"/>
      <c r="B12" s="13"/>
      <c r="C12" s="13"/>
      <c r="D12" s="13"/>
      <c r="E12" s="13"/>
      <c r="F12" s="13"/>
      <c r="G12" s="23" t="s">
        <v>73</v>
      </c>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x14ac:dyDescent="0.2">
      <c r="A13" s="13"/>
      <c r="B13" s="12" t="s">
        <v>160</v>
      </c>
      <c r="C13" s="64" t="s">
        <v>37</v>
      </c>
      <c r="D13" s="4" t="s">
        <v>43</v>
      </c>
      <c r="E13" s="52" t="s">
        <v>35</v>
      </c>
      <c r="F13" s="52" t="s">
        <v>34</v>
      </c>
      <c r="G13" s="5" t="s">
        <v>45</v>
      </c>
      <c r="H13" s="46"/>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row>
    <row r="14" spans="1:38" x14ac:dyDescent="0.2">
      <c r="A14" s="13"/>
      <c r="B14" s="8" t="s">
        <v>1</v>
      </c>
      <c r="C14" s="64">
        <v>2</v>
      </c>
      <c r="D14" s="4">
        <v>58</v>
      </c>
      <c r="E14" s="52">
        <v>3.7</v>
      </c>
      <c r="F14" s="52">
        <v>3.2</v>
      </c>
      <c r="G14" s="49">
        <v>6.5</v>
      </c>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x14ac:dyDescent="0.2">
      <c r="A15" s="13"/>
      <c r="B15" s="8" t="s">
        <v>36</v>
      </c>
      <c r="C15" s="98">
        <v>16</v>
      </c>
      <c r="D15" s="1">
        <v>24</v>
      </c>
      <c r="E15" s="53">
        <v>0</v>
      </c>
      <c r="F15" s="53"/>
      <c r="G15" s="50">
        <v>1.1000000000000001</v>
      </c>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row>
    <row r="16" spans="1:38" x14ac:dyDescent="0.2">
      <c r="A16" s="13"/>
      <c r="B16" s="6" t="s">
        <v>21</v>
      </c>
      <c r="C16" s="98">
        <v>28</v>
      </c>
      <c r="D16" s="1">
        <v>6</v>
      </c>
      <c r="E16" s="53">
        <v>23.5</v>
      </c>
      <c r="F16" s="53">
        <v>54</v>
      </c>
      <c r="G16" s="50">
        <v>23.9</v>
      </c>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row>
    <row r="17" spans="1:38" x14ac:dyDescent="0.2">
      <c r="A17" s="13"/>
      <c r="B17" s="8" t="s">
        <v>38</v>
      </c>
      <c r="C17" s="98">
        <v>28</v>
      </c>
      <c r="D17" s="1">
        <v>8</v>
      </c>
      <c r="E17" s="53">
        <v>46.6</v>
      </c>
      <c r="F17" s="53"/>
      <c r="G17" s="50">
        <v>43.3</v>
      </c>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x14ac:dyDescent="0.2">
      <c r="A18" s="13"/>
      <c r="B18" s="8" t="s">
        <v>39</v>
      </c>
      <c r="C18" s="98">
        <v>28</v>
      </c>
      <c r="D18" s="1">
        <v>2</v>
      </c>
      <c r="E18" s="53">
        <v>0</v>
      </c>
      <c r="F18" s="53"/>
      <c r="G18" s="50">
        <v>0</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38" x14ac:dyDescent="0.2">
      <c r="A19" s="13"/>
      <c r="B19" s="8" t="s">
        <v>40</v>
      </c>
      <c r="C19" s="98">
        <v>78</v>
      </c>
      <c r="D19" s="1">
        <v>0</v>
      </c>
      <c r="E19" s="53">
        <v>0</v>
      </c>
      <c r="F19" s="53"/>
      <c r="G19" s="50">
        <v>0</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row>
    <row r="20" spans="1:38" x14ac:dyDescent="0.2">
      <c r="A20" s="13"/>
      <c r="B20" s="8" t="s">
        <v>0</v>
      </c>
      <c r="C20" s="98">
        <v>44</v>
      </c>
      <c r="D20" s="1">
        <v>1</v>
      </c>
      <c r="E20" s="53">
        <v>21.6</v>
      </c>
      <c r="F20" s="53">
        <v>20</v>
      </c>
      <c r="G20" s="50">
        <v>20.5</v>
      </c>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row>
    <row r="21" spans="1:38" x14ac:dyDescent="0.2">
      <c r="A21" s="13"/>
      <c r="B21" s="8" t="s">
        <v>41</v>
      </c>
      <c r="C21" s="98">
        <v>44</v>
      </c>
      <c r="D21" s="1">
        <v>0</v>
      </c>
      <c r="E21" s="53">
        <v>0</v>
      </c>
      <c r="F21" s="53"/>
      <c r="G21" s="50"/>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row>
    <row r="22" spans="1:38" x14ac:dyDescent="0.2">
      <c r="A22" s="13"/>
      <c r="B22" s="8" t="s">
        <v>42</v>
      </c>
      <c r="C22" s="98">
        <v>30</v>
      </c>
      <c r="D22" s="1">
        <v>1</v>
      </c>
      <c r="E22" s="53">
        <v>0</v>
      </c>
      <c r="F22" s="53"/>
      <c r="G22" s="50"/>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row>
    <row r="23" spans="1:38" x14ac:dyDescent="0.2">
      <c r="A23" s="13"/>
      <c r="B23" s="9" t="s">
        <v>146</v>
      </c>
      <c r="C23" s="57">
        <v>35</v>
      </c>
      <c r="D23" s="10">
        <v>1</v>
      </c>
      <c r="E23" s="54">
        <v>0</v>
      </c>
      <c r="F23" s="54"/>
      <c r="G23" s="51"/>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4" spans="1:38"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x14ac:dyDescent="0.2">
      <c r="A25" s="13"/>
      <c r="B25" s="13" t="s">
        <v>175</v>
      </c>
      <c r="C25" s="13">
        <v>1.1399999999999999</v>
      </c>
      <c r="D25" s="13" t="s">
        <v>58</v>
      </c>
      <c r="E25" s="13"/>
      <c r="F25" s="13"/>
      <c r="G25" s="13"/>
      <c r="H25" s="46"/>
      <c r="I25" s="46" t="s">
        <v>413</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row>
    <row r="26" spans="1:38" x14ac:dyDescent="0.2">
      <c r="A26" s="13"/>
      <c r="B26" s="13"/>
      <c r="C26" s="13"/>
      <c r="D26" s="13"/>
      <c r="E26" s="13"/>
      <c r="F26" s="13"/>
      <c r="G26" s="13"/>
      <c r="H26" s="46"/>
      <c r="I26" s="46"/>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row>
    <row r="27" spans="1:38" x14ac:dyDescent="0.2">
      <c r="A27" s="13"/>
      <c r="B27" s="13"/>
      <c r="C27" s="13"/>
      <c r="D27" s="13"/>
      <c r="E27" s="13"/>
      <c r="F27" s="13"/>
      <c r="G27" s="13"/>
      <c r="H27" s="46"/>
      <c r="I27" s="46"/>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row>
    <row r="28" spans="1:38" x14ac:dyDescent="0.2">
      <c r="A28" s="13"/>
      <c r="B28" s="13"/>
      <c r="C28" s="13"/>
      <c r="D28" s="13"/>
      <c r="E28" s="13"/>
      <c r="F28" s="13"/>
      <c r="G28" s="13"/>
      <c r="H28" s="46"/>
      <c r="I28" s="46"/>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row>
    <row r="29" spans="1:38"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ht="26" x14ac:dyDescent="0.3">
      <c r="A30" s="13"/>
      <c r="B30" s="59" t="s">
        <v>176</v>
      </c>
      <c r="C30" s="13"/>
      <c r="D30" s="13"/>
      <c r="E30" s="13"/>
      <c r="F30" s="13"/>
      <c r="G30" s="13"/>
      <c r="H30" s="13"/>
      <c r="I30" s="13"/>
      <c r="J30" s="13"/>
      <c r="K30" s="59" t="s">
        <v>315</v>
      </c>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row>
    <row r="31" spans="1:38"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row>
    <row r="32" spans="1:38" x14ac:dyDescent="0.2">
      <c r="A32" s="13"/>
      <c r="B32" s="13" t="s">
        <v>147</v>
      </c>
      <c r="C32" s="13"/>
      <c r="D32" s="13"/>
      <c r="E32" s="13"/>
      <c r="F32" s="13"/>
      <c r="G32" s="13"/>
      <c r="H32" s="13"/>
      <c r="I32" s="13"/>
      <c r="J32" s="13"/>
      <c r="K32" s="13" t="s">
        <v>316</v>
      </c>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x14ac:dyDescent="0.2">
      <c r="A33" s="13"/>
      <c r="B33" s="13"/>
      <c r="C33" s="43">
        <v>12.025</v>
      </c>
      <c r="D33" s="13" t="s">
        <v>623</v>
      </c>
      <c r="E33" s="13"/>
      <c r="F33" s="13" t="s">
        <v>624</v>
      </c>
      <c r="G33" s="13"/>
      <c r="H33" s="13"/>
      <c r="I33" s="13"/>
      <c r="J33" s="13"/>
      <c r="K33" s="13"/>
      <c r="L33" s="43">
        <f>35/730</f>
        <v>4.7945205479452052E-2</v>
      </c>
      <c r="M33" s="13" t="s">
        <v>317</v>
      </c>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row>
    <row r="34" spans="1:38" x14ac:dyDescent="0.2">
      <c r="A34" s="13"/>
      <c r="B34" s="13"/>
      <c r="C34" s="43">
        <f>C33/44</f>
        <v>0.27329545454545456</v>
      </c>
      <c r="D34" s="13" t="s">
        <v>141</v>
      </c>
      <c r="E34" s="13"/>
      <c r="F34" s="13"/>
      <c r="G34" s="13"/>
      <c r="H34" s="13"/>
      <c r="I34" s="13"/>
      <c r="J34" s="13"/>
      <c r="K34" s="13" t="s">
        <v>318</v>
      </c>
      <c r="L34" s="4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5" spans="1:38" x14ac:dyDescent="0.2">
      <c r="A35" s="13"/>
      <c r="B35" s="13" t="s">
        <v>148</v>
      </c>
      <c r="C35" s="43"/>
      <c r="D35" s="13"/>
      <c r="E35" s="13"/>
      <c r="F35" s="13"/>
      <c r="G35" s="13"/>
      <c r="H35" s="13"/>
      <c r="I35" s="13"/>
      <c r="J35" s="13"/>
      <c r="K35" s="13"/>
      <c r="L35" s="43">
        <f>C50/(E16/100)</f>
        <v>0.42418363233219109</v>
      </c>
      <c r="M35" s="13" t="s">
        <v>141</v>
      </c>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x14ac:dyDescent="0.2">
      <c r="A36" s="13"/>
      <c r="B36" s="13"/>
      <c r="C36" s="42">
        <v>0.7</v>
      </c>
      <c r="D36" s="13" t="s">
        <v>625</v>
      </c>
      <c r="E36" s="13"/>
      <c r="F36" s="13" t="s">
        <v>626</v>
      </c>
      <c r="G36" s="13"/>
      <c r="H36" s="13"/>
      <c r="I36" s="13"/>
      <c r="J36" s="13"/>
      <c r="K36" s="13" t="s">
        <v>319</v>
      </c>
      <c r="L36" s="4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row>
    <row r="37" spans="1:38" x14ac:dyDescent="0.2">
      <c r="A37" s="13"/>
      <c r="B37" s="13" t="s">
        <v>149</v>
      </c>
      <c r="C37" s="27"/>
      <c r="D37" s="13"/>
      <c r="E37" s="13"/>
      <c r="F37" s="13"/>
      <c r="G37" s="13"/>
      <c r="H37" s="13"/>
      <c r="I37" s="13"/>
      <c r="J37" s="13"/>
      <c r="K37" s="13"/>
      <c r="L37" s="43">
        <f>L35*L33</f>
        <v>2.0337571413187244E-2</v>
      </c>
      <c r="M37" s="13" t="s">
        <v>141</v>
      </c>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row>
    <row r="38" spans="1:38" x14ac:dyDescent="0.2">
      <c r="A38" s="13"/>
      <c r="B38" s="13"/>
      <c r="C38" s="60">
        <f>C36*C34</f>
        <v>0.19130681818181819</v>
      </c>
      <c r="D38" s="13" t="s">
        <v>150</v>
      </c>
      <c r="E38" s="13"/>
      <c r="F38" s="13"/>
      <c r="G38" s="13"/>
      <c r="H38" s="13"/>
      <c r="I38" s="13"/>
      <c r="J38" s="13"/>
      <c r="K38" s="13" t="s">
        <v>320</v>
      </c>
      <c r="L38" s="4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x14ac:dyDescent="0.2">
      <c r="A39" s="13"/>
      <c r="B39" s="13"/>
      <c r="C39" s="60">
        <f>C38*44</f>
        <v>8.4175000000000004</v>
      </c>
      <c r="D39" s="13" t="s">
        <v>152</v>
      </c>
      <c r="E39" s="13"/>
      <c r="F39" s="13"/>
      <c r="G39" s="13"/>
      <c r="H39" s="13"/>
      <c r="I39" s="13"/>
      <c r="J39" s="13"/>
      <c r="K39" s="13"/>
      <c r="L39" s="43">
        <f>F16/100*L37</f>
        <v>1.0982288563121112E-2</v>
      </c>
      <c r="M39" s="13" t="s">
        <v>142</v>
      </c>
      <c r="N39" s="13"/>
      <c r="O39" s="43">
        <f>L37*(F14/100)</f>
        <v>6.5080228522199177E-4</v>
      </c>
      <c r="P39" s="13" t="s">
        <v>144</v>
      </c>
      <c r="Q39" s="13"/>
      <c r="R39" s="13"/>
      <c r="S39" s="13"/>
      <c r="T39" s="13"/>
      <c r="U39" s="13"/>
      <c r="V39" s="13"/>
      <c r="W39" s="13"/>
      <c r="X39" s="13"/>
      <c r="Y39" s="13"/>
      <c r="Z39" s="13"/>
      <c r="AA39" s="13"/>
      <c r="AB39" s="13"/>
      <c r="AC39" s="13"/>
      <c r="AD39" s="13"/>
      <c r="AE39" s="13"/>
      <c r="AF39" s="13"/>
      <c r="AG39" s="13"/>
      <c r="AH39" s="13"/>
      <c r="AI39" s="13"/>
      <c r="AJ39" s="13"/>
      <c r="AK39" s="13"/>
      <c r="AL39" s="13"/>
    </row>
    <row r="40" spans="1:38" x14ac:dyDescent="0.2">
      <c r="A40" s="13"/>
      <c r="B40" s="13" t="s">
        <v>76</v>
      </c>
      <c r="C40" s="60"/>
      <c r="D40" s="13"/>
      <c r="E40" s="13"/>
      <c r="F40" s="13"/>
      <c r="G40" s="13"/>
      <c r="H40" s="13"/>
      <c r="I40" s="13"/>
      <c r="J40" s="13"/>
      <c r="K40" s="13"/>
      <c r="L40" s="43">
        <f>L37*(F20/100)</f>
        <v>4.0675142826374485E-3</v>
      </c>
      <c r="M40" s="13" t="s">
        <v>143</v>
      </c>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row>
    <row r="41" spans="1:38" x14ac:dyDescent="0.2">
      <c r="A41" s="13"/>
      <c r="B41" s="13" t="s">
        <v>151</v>
      </c>
      <c r="C41" s="4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row>
    <row r="42" spans="1:38" x14ac:dyDescent="0.2">
      <c r="A42" s="13"/>
      <c r="B42" s="13"/>
      <c r="C42" s="43">
        <f>E16/($E$16+$E$20)</f>
        <v>0.52106430155210637</v>
      </c>
      <c r="D42" s="13" t="s">
        <v>74</v>
      </c>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row>
    <row r="43" spans="1:38" x14ac:dyDescent="0.2">
      <c r="A43" s="13"/>
      <c r="B43" s="13"/>
      <c r="C43" s="43">
        <f>E20/($E$16+$E$20)</f>
        <v>0.47893569844789358</v>
      </c>
      <c r="D43" s="13" t="s">
        <v>75</v>
      </c>
      <c r="E43" s="13"/>
      <c r="F43" s="13"/>
      <c r="G43" s="13"/>
      <c r="H43" s="13"/>
      <c r="I43" s="13"/>
      <c r="J43" s="13"/>
      <c r="K43" s="13" t="s">
        <v>50</v>
      </c>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row>
    <row r="44" spans="1:38" x14ac:dyDescent="0.2">
      <c r="A44" s="13"/>
      <c r="B44" s="13"/>
      <c r="C44" s="43"/>
      <c r="D44" s="13"/>
      <c r="E44" s="13"/>
      <c r="F44" s="13"/>
      <c r="G44" s="13"/>
      <c r="H44" s="13"/>
      <c r="I44" s="13"/>
      <c r="J44" s="13"/>
      <c r="K44" s="13"/>
      <c r="L44" s="44">
        <f>L39*28</f>
        <v>0.30750407976739114</v>
      </c>
      <c r="M44" s="13" t="s">
        <v>51</v>
      </c>
      <c r="N44" s="13"/>
      <c r="O44" s="43">
        <f>O39*2.016</f>
        <v>1.3120174070075355E-3</v>
      </c>
      <c r="P44" s="13" t="s">
        <v>145</v>
      </c>
      <c r="Q44" s="13"/>
      <c r="R44" s="13"/>
      <c r="S44" s="13"/>
      <c r="T44" s="13"/>
      <c r="U44" s="13"/>
      <c r="V44" s="13"/>
      <c r="W44" s="13"/>
      <c r="X44" s="13"/>
      <c r="Y44" s="13"/>
      <c r="Z44" s="13"/>
      <c r="AA44" s="13"/>
      <c r="AB44" s="13"/>
      <c r="AC44" s="13"/>
      <c r="AD44" s="13"/>
      <c r="AE44" s="13"/>
      <c r="AF44" s="13"/>
      <c r="AG44" s="13"/>
      <c r="AH44" s="13"/>
      <c r="AI44" s="13"/>
      <c r="AJ44" s="13"/>
      <c r="AK44" s="13"/>
      <c r="AL44" s="13"/>
    </row>
    <row r="45" spans="1:38" x14ac:dyDescent="0.2">
      <c r="A45" s="13"/>
      <c r="B45" s="13" t="s">
        <v>47</v>
      </c>
      <c r="C45" s="43"/>
      <c r="D45" s="13" t="s">
        <v>370</v>
      </c>
      <c r="E45" s="13"/>
      <c r="F45" s="13"/>
      <c r="G45" s="13"/>
      <c r="H45" s="13"/>
      <c r="I45" s="13"/>
      <c r="J45" s="13"/>
      <c r="K45" s="13"/>
      <c r="L45" s="44">
        <f>L40*44</f>
        <v>0.17897062843604775</v>
      </c>
      <c r="M45" s="13" t="s">
        <v>46</v>
      </c>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row>
    <row r="46" spans="1:38" x14ac:dyDescent="0.2">
      <c r="A46" s="13"/>
      <c r="B46" s="13"/>
      <c r="C46" s="43"/>
      <c r="D46" s="13" t="s">
        <v>371</v>
      </c>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row>
    <row r="47" spans="1:38" x14ac:dyDescent="0.2">
      <c r="A47" s="13"/>
      <c r="B47" s="13" t="s">
        <v>48</v>
      </c>
      <c r="C47" s="43"/>
      <c r="D47" s="13"/>
      <c r="E47" s="13"/>
      <c r="F47" s="13"/>
      <c r="G47" s="13"/>
      <c r="H47" s="13"/>
      <c r="I47" s="13"/>
      <c r="J47" s="13"/>
      <c r="K47" s="13" t="s">
        <v>321</v>
      </c>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row>
    <row r="48" spans="1:38" x14ac:dyDescent="0.2">
      <c r="A48" s="13"/>
      <c r="B48" s="13"/>
      <c r="C48" s="43"/>
      <c r="D48" s="13"/>
      <c r="E48" s="13"/>
      <c r="F48" s="13"/>
      <c r="G48" s="13"/>
      <c r="H48" s="13"/>
      <c r="I48" s="13"/>
      <c r="J48" s="13"/>
      <c r="K48" s="13"/>
      <c r="L48" s="43">
        <f>L44*44/28+L45</f>
        <v>0.66219132521337665</v>
      </c>
      <c r="M48" s="13" t="s">
        <v>152</v>
      </c>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row>
    <row r="49" spans="1:38" x14ac:dyDescent="0.2">
      <c r="A49" s="13"/>
      <c r="B49" s="13" t="s">
        <v>49</v>
      </c>
      <c r="C49" s="4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row>
    <row r="50" spans="1:38" x14ac:dyDescent="0.2">
      <c r="A50" s="13"/>
      <c r="B50" s="13"/>
      <c r="C50" s="43">
        <f>C38*C42</f>
        <v>9.96831535980649E-2</v>
      </c>
      <c r="D50" s="13" t="s">
        <v>142</v>
      </c>
      <c r="E50" s="13"/>
      <c r="F50" s="43">
        <f>C50*E14/E16</f>
        <v>1.5694794396291071E-2</v>
      </c>
      <c r="G50" s="13" t="s">
        <v>144</v>
      </c>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row>
    <row r="51" spans="1:38" x14ac:dyDescent="0.2">
      <c r="A51" s="13"/>
      <c r="B51" s="13"/>
      <c r="C51" s="43">
        <f>C38*C43</f>
        <v>9.1623664583753275E-2</v>
      </c>
      <c r="D51" s="13" t="s">
        <v>143</v>
      </c>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row>
    <row r="52" spans="1:38" x14ac:dyDescent="0.2">
      <c r="A52" s="13"/>
      <c r="B52" s="13" t="s">
        <v>50</v>
      </c>
      <c r="C52" s="4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row>
    <row r="53" spans="1:38" x14ac:dyDescent="0.2">
      <c r="A53" s="13"/>
      <c r="B53" s="13"/>
      <c r="C53" s="44">
        <f>C50*28+L44</f>
        <v>3.0986323805132083</v>
      </c>
      <c r="D53" s="13" t="s">
        <v>51</v>
      </c>
      <c r="E53" s="13"/>
      <c r="F53" s="43">
        <f>F50*2.016</f>
        <v>3.1640705502922799E-2</v>
      </c>
      <c r="G53" s="13" t="s">
        <v>145</v>
      </c>
      <c r="H53" s="13"/>
      <c r="I53" s="96"/>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row>
    <row r="54" spans="1:38" x14ac:dyDescent="0.2">
      <c r="A54" s="13"/>
      <c r="B54" s="13"/>
      <c r="C54" s="44">
        <f>C51*44+L45</f>
        <v>4.2104118701211917</v>
      </c>
      <c r="D54" s="13" t="s">
        <v>46</v>
      </c>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row>
    <row r="55" spans="1:38" x14ac:dyDescent="0.2">
      <c r="A55" s="13"/>
      <c r="B55" s="13" t="s">
        <v>388</v>
      </c>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row>
    <row r="56" spans="1:38"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row>
    <row r="57" spans="1:38" x14ac:dyDescent="0.2">
      <c r="A57" s="13"/>
      <c r="B57" s="13" t="s">
        <v>179</v>
      </c>
      <c r="C57" s="27">
        <f>Process!W70</f>
        <v>0.98</v>
      </c>
      <c r="D57" s="13" t="s">
        <v>21</v>
      </c>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row>
    <row r="58" spans="1:38" x14ac:dyDescent="0.2">
      <c r="A58" s="13"/>
      <c r="B58" s="13"/>
      <c r="C58" s="43">
        <f>C53*C57</f>
        <v>3.0366597329029439</v>
      </c>
      <c r="D58" s="13" t="s">
        <v>51</v>
      </c>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row>
    <row r="59" spans="1:38" x14ac:dyDescent="0.2">
      <c r="A59" s="13"/>
      <c r="B59" s="13"/>
      <c r="C59" s="1">
        <f>Process!E70</f>
        <v>0.99990000000000001</v>
      </c>
      <c r="D59" s="13" t="s">
        <v>0</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row>
    <row r="60" spans="1:38" x14ac:dyDescent="0.2">
      <c r="A60" s="13"/>
      <c r="B60" s="13"/>
      <c r="C60" s="43">
        <f>C54*C59</f>
        <v>4.2099908289341794</v>
      </c>
      <c r="D60" s="13" t="s">
        <v>46</v>
      </c>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row>
    <row r="61" spans="1:38"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row>
    <row r="62" spans="1:38" x14ac:dyDescent="0.2">
      <c r="A62" s="13"/>
      <c r="B62" s="13" t="s">
        <v>53</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row>
    <row r="63" spans="1:38" x14ac:dyDescent="0.2">
      <c r="A63" s="13"/>
      <c r="B63" s="13"/>
      <c r="C63" s="29">
        <f>C58</f>
        <v>3.0366597329029439</v>
      </c>
      <c r="D63" s="13" t="s">
        <v>51</v>
      </c>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row>
    <row r="64" spans="1:38" x14ac:dyDescent="0.2">
      <c r="A64" s="13"/>
      <c r="B64" s="13" t="s">
        <v>54</v>
      </c>
      <c r="C64" s="43">
        <f>C60</f>
        <v>4.2099908289341794</v>
      </c>
      <c r="D64" s="13" t="s">
        <v>46</v>
      </c>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row>
    <row r="65" spans="1:38" x14ac:dyDescent="0.2">
      <c r="A65" s="13"/>
      <c r="B65" s="13" t="s">
        <v>153</v>
      </c>
      <c r="C65" s="4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row>
    <row r="66" spans="1:38" x14ac:dyDescent="0.2">
      <c r="A66" s="13"/>
      <c r="B66" s="13"/>
      <c r="C66" s="29">
        <f>C63*(44/28)+C64</f>
        <v>8.9818846949245206</v>
      </c>
      <c r="D66" s="13" t="s">
        <v>152</v>
      </c>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row>
    <row r="67" spans="1:38" x14ac:dyDescent="0.2">
      <c r="A67" s="13"/>
      <c r="B67" s="13"/>
      <c r="C67" s="4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row>
    <row r="68" spans="1:38" x14ac:dyDescent="0.2">
      <c r="A68" s="13"/>
      <c r="B68" s="13"/>
      <c r="C68" s="4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row>
    <row r="69" spans="1:38" x14ac:dyDescent="0.2">
      <c r="A69" s="13"/>
      <c r="B69" s="13" t="s">
        <v>627</v>
      </c>
      <c r="C69" s="4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row>
    <row r="70" spans="1:38" x14ac:dyDescent="0.2">
      <c r="A70" s="13"/>
      <c r="B70" s="13"/>
      <c r="C70" s="4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row>
    <row r="71" spans="1:38" ht="24" x14ac:dyDescent="0.3">
      <c r="A71" s="13"/>
      <c r="B71" s="58" t="s">
        <v>177</v>
      </c>
      <c r="C71" s="4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row>
    <row r="72" spans="1:38" x14ac:dyDescent="0.2">
      <c r="A72" s="13"/>
      <c r="B72" s="13"/>
      <c r="C72" s="4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row>
    <row r="73" spans="1:38" ht="21" x14ac:dyDescent="0.25">
      <c r="A73" s="13"/>
      <c r="B73" s="48" t="s">
        <v>178</v>
      </c>
      <c r="C73" s="4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row>
    <row r="74" spans="1:38" x14ac:dyDescent="0.2">
      <c r="A74" s="13"/>
      <c r="B74" s="13"/>
      <c r="C74" s="4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row>
    <row r="75" spans="1:38" x14ac:dyDescent="0.2">
      <c r="A75" s="13"/>
      <c r="B75" s="23" t="s">
        <v>109</v>
      </c>
      <c r="C75" s="43"/>
      <c r="D75" s="13"/>
      <c r="E75" s="13"/>
      <c r="F75" s="47"/>
      <c r="G75" s="46"/>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row>
    <row r="76" spans="1:38" x14ac:dyDescent="0.2">
      <c r="A76" s="13"/>
      <c r="B76" s="23"/>
      <c r="C76" s="4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row>
    <row r="77" spans="1:38" x14ac:dyDescent="0.2">
      <c r="A77" s="23"/>
      <c r="B77" s="13" t="s">
        <v>94</v>
      </c>
      <c r="C77" s="43">
        <f>0.3848</f>
        <v>0.38479999999999998</v>
      </c>
      <c r="D77" s="13" t="s">
        <v>59</v>
      </c>
      <c r="E77" s="13"/>
      <c r="F77" s="91" t="s">
        <v>409</v>
      </c>
      <c r="G77" s="13"/>
      <c r="H77" s="13"/>
      <c r="I77" s="13" t="s">
        <v>410</v>
      </c>
      <c r="J77" s="13"/>
      <c r="K77" s="13" t="s">
        <v>57</v>
      </c>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row>
    <row r="78" spans="1:38" x14ac:dyDescent="0.2">
      <c r="A78" s="13"/>
      <c r="B78" s="13"/>
      <c r="C78" s="43">
        <f>C77/C25</f>
        <v>0.33754385964912281</v>
      </c>
      <c r="D78" s="13" t="s">
        <v>61</v>
      </c>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row>
    <row r="79" spans="1:38" x14ac:dyDescent="0.2">
      <c r="A79" s="13"/>
      <c r="B79" s="13"/>
      <c r="C79" s="43">
        <f>C78*1000</f>
        <v>337.54385964912279</v>
      </c>
      <c r="D79" s="13" t="s">
        <v>490</v>
      </c>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row>
    <row r="80" spans="1:38" x14ac:dyDescent="0.2">
      <c r="A80" s="13"/>
      <c r="B80" s="13" t="s">
        <v>491</v>
      </c>
      <c r="C80" s="43">
        <v>71</v>
      </c>
      <c r="D80" s="13" t="s">
        <v>490</v>
      </c>
      <c r="E80" s="13"/>
      <c r="F80" s="13" t="s">
        <v>492</v>
      </c>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row>
    <row r="81" spans="1:38" x14ac:dyDescent="0.2">
      <c r="A81" s="13"/>
      <c r="B81" s="13" t="s">
        <v>52</v>
      </c>
      <c r="C81" s="43">
        <f>C79+C80</f>
        <v>408.54385964912279</v>
      </c>
      <c r="D81" s="13" t="s">
        <v>490</v>
      </c>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row>
    <row r="82" spans="1:38" x14ac:dyDescent="0.2">
      <c r="A82" s="13"/>
      <c r="B82" s="13"/>
      <c r="C82" s="4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row>
    <row r="83" spans="1:38" x14ac:dyDescent="0.2">
      <c r="A83" s="13"/>
      <c r="B83" s="13" t="s">
        <v>131</v>
      </c>
      <c r="C83" s="13">
        <v>1</v>
      </c>
      <c r="D83" s="13" t="s">
        <v>162</v>
      </c>
      <c r="E83" s="13"/>
      <c r="F83" s="91" t="s">
        <v>408</v>
      </c>
      <c r="G83" s="13"/>
      <c r="H83" s="13"/>
      <c r="I83" s="13">
        <v>3.15E-2</v>
      </c>
      <c r="J83" s="13" t="s">
        <v>161</v>
      </c>
      <c r="K83" s="13" t="s">
        <v>173</v>
      </c>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row>
    <row r="84" spans="1:38" x14ac:dyDescent="0.2">
      <c r="A84" s="13"/>
      <c r="B84" s="13"/>
      <c r="C84" s="43">
        <f>C83/C25</f>
        <v>0.87719298245614041</v>
      </c>
      <c r="D84" s="13" t="s">
        <v>60</v>
      </c>
      <c r="E84" s="13"/>
      <c r="F84" s="2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row>
    <row r="85" spans="1:38" x14ac:dyDescent="0.2">
      <c r="A85" s="13"/>
      <c r="B85" s="13"/>
      <c r="C85" s="43">
        <f>C84/0.857</f>
        <v>1.0235624065999305</v>
      </c>
      <c r="D85" s="13" t="s">
        <v>163</v>
      </c>
      <c r="E85" s="13"/>
      <c r="F85" s="13" t="s">
        <v>184</v>
      </c>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row>
    <row r="86" spans="1:38" x14ac:dyDescent="0.2">
      <c r="A86" s="13"/>
      <c r="B86" s="13"/>
      <c r="C86" s="43">
        <f>C84/3.6/0.99</f>
        <v>0.24612597712012918</v>
      </c>
      <c r="D86" s="13" t="s">
        <v>61</v>
      </c>
      <c r="E86" s="13"/>
      <c r="F86" s="13" t="s">
        <v>185</v>
      </c>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row>
    <row r="87" spans="1:38"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row>
    <row r="88" spans="1:38" x14ac:dyDescent="0.2">
      <c r="A88" s="13"/>
      <c r="B88" s="13" t="s">
        <v>164</v>
      </c>
      <c r="C88" s="12">
        <v>0</v>
      </c>
      <c r="D88" s="13" t="s">
        <v>165</v>
      </c>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row>
    <row r="89" spans="1:38" x14ac:dyDescent="0.2">
      <c r="A89" s="13"/>
      <c r="B89" s="13"/>
      <c r="C89" s="12">
        <v>1</v>
      </c>
      <c r="D89" s="13" t="s">
        <v>166</v>
      </c>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row>
    <row r="90" spans="1:38" x14ac:dyDescent="0.2">
      <c r="A90" s="13"/>
      <c r="B90" s="13" t="s">
        <v>172</v>
      </c>
      <c r="C90" s="1"/>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row>
    <row r="91" spans="1:38"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row>
    <row r="92" spans="1:38" x14ac:dyDescent="0.2">
      <c r="A92" s="13"/>
      <c r="B92" s="23" t="s">
        <v>28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row>
    <row r="93" spans="1:38" x14ac:dyDescent="0.2">
      <c r="A93" s="13"/>
      <c r="B93" s="13" t="s">
        <v>94</v>
      </c>
      <c r="C93" s="43">
        <f>IF(C88=1,Process!E48*(C81+C86),Process!E48*C81)</f>
        <v>16.341754385964911</v>
      </c>
      <c r="D93" s="13" t="s">
        <v>192</v>
      </c>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row>
    <row r="94" spans="1:38" x14ac:dyDescent="0.2">
      <c r="A94" s="13"/>
      <c r="B94" s="13" t="s">
        <v>167</v>
      </c>
      <c r="C94" s="43">
        <f>IF(C89=1,C83*Process!E52*1000,0)</f>
        <v>4.8500000000000005</v>
      </c>
      <c r="D94" s="13" t="s">
        <v>192</v>
      </c>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row>
    <row r="95" spans="1:38" x14ac:dyDescent="0.2">
      <c r="A95" s="13"/>
      <c r="B95" s="13" t="s">
        <v>109</v>
      </c>
      <c r="C95" s="43">
        <f>(C94+C93)</f>
        <v>21.191754385964913</v>
      </c>
      <c r="D95" s="13" t="s">
        <v>192</v>
      </c>
      <c r="E95" s="13"/>
      <c r="F95" s="13" t="s">
        <v>168</v>
      </c>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row>
    <row r="96" spans="1:38" x14ac:dyDescent="0.2">
      <c r="A96" s="13"/>
      <c r="B96" s="13"/>
      <c r="C96" s="4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row>
    <row r="97" spans="1:38" x14ac:dyDescent="0.2">
      <c r="A97" s="13"/>
      <c r="B97" s="13" t="s">
        <v>170</v>
      </c>
      <c r="C97" s="43">
        <f>0.1504</f>
        <v>0.15040000000000001</v>
      </c>
      <c r="D97" s="13" t="s">
        <v>169</v>
      </c>
      <c r="E97" s="13"/>
      <c r="F97" s="13" t="s">
        <v>407</v>
      </c>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row>
    <row r="98" spans="1:38" x14ac:dyDescent="0.2">
      <c r="A98" s="13"/>
      <c r="B98" s="13" t="s">
        <v>171</v>
      </c>
      <c r="C98" s="43">
        <f>C97/C25</f>
        <v>0.13192982456140354</v>
      </c>
      <c r="D98" s="13" t="s">
        <v>62</v>
      </c>
      <c r="E98" s="13"/>
      <c r="F98" s="13" t="s">
        <v>407</v>
      </c>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row>
    <row r="99" spans="1:38" x14ac:dyDescent="0.2">
      <c r="A99" s="13"/>
      <c r="B99" s="13"/>
      <c r="C99" s="43">
        <f>C98*0.135*1000</f>
        <v>17.810526315789478</v>
      </c>
      <c r="D99" s="13" t="s">
        <v>192</v>
      </c>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row>
    <row r="100" spans="1:38" x14ac:dyDescent="0.2">
      <c r="A100" s="13"/>
      <c r="B100" s="13"/>
      <c r="C100" s="4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row>
    <row r="101" spans="1:38" x14ac:dyDescent="0.2">
      <c r="A101" s="13"/>
      <c r="B101" s="13" t="s">
        <v>18</v>
      </c>
      <c r="C101" s="43">
        <f>C99+C95</f>
        <v>39.002280701754387</v>
      </c>
      <c r="D101" s="13" t="s">
        <v>192</v>
      </c>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row>
    <row r="102" spans="1:38" x14ac:dyDescent="0.2">
      <c r="A102" s="13"/>
      <c r="B102" s="13" t="s">
        <v>174</v>
      </c>
      <c r="C102" s="43">
        <f>C101*C63</f>
        <v>118.43665529839512</v>
      </c>
      <c r="D102" s="13" t="s">
        <v>29</v>
      </c>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row>
    <row r="103" spans="1:38" x14ac:dyDescent="0.2">
      <c r="A103" s="13"/>
      <c r="B103" s="13"/>
      <c r="C103" s="4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row>
    <row r="104" spans="1:38" x14ac:dyDescent="0.2">
      <c r="A104" s="13"/>
      <c r="B104" s="13"/>
      <c r="C104" s="4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row>
    <row r="105" spans="1:38" ht="24" x14ac:dyDescent="0.3">
      <c r="A105" s="13"/>
      <c r="B105" s="58" t="s">
        <v>597</v>
      </c>
      <c r="C105" s="4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row>
    <row r="106" spans="1:38" x14ac:dyDescent="0.2">
      <c r="A106" s="13"/>
      <c r="B106" s="13"/>
      <c r="C106" s="4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row>
    <row r="107" spans="1:38" x14ac:dyDescent="0.2">
      <c r="A107" s="23"/>
      <c r="B107" s="13" t="s">
        <v>72</v>
      </c>
      <c r="C107" s="43">
        <f>C63</f>
        <v>3.0366597329029439</v>
      </c>
      <c r="D107" s="13" t="s">
        <v>71</v>
      </c>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row>
    <row r="108" spans="1:38" x14ac:dyDescent="0.2">
      <c r="A108" s="13"/>
      <c r="B108" s="13" t="s">
        <v>21</v>
      </c>
      <c r="C108" s="43">
        <v>0.28339999999999999</v>
      </c>
      <c r="D108" s="13" t="s">
        <v>64</v>
      </c>
      <c r="E108" s="13" t="s">
        <v>63</v>
      </c>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row>
    <row r="109" spans="1:38" x14ac:dyDescent="0.2">
      <c r="A109" s="13"/>
      <c r="B109" s="13"/>
      <c r="C109" s="4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row>
    <row r="110" spans="1:38" x14ac:dyDescent="0.2">
      <c r="A110" s="13"/>
      <c r="B110" s="13" t="s">
        <v>65</v>
      </c>
      <c r="C110" s="44">
        <f>C58</f>
        <v>3.0366597329029439</v>
      </c>
      <c r="D110" s="13" t="s">
        <v>51</v>
      </c>
      <c r="E110" s="13" t="s">
        <v>66</v>
      </c>
      <c r="F110" s="2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x14ac:dyDescent="0.2">
      <c r="A111" s="13"/>
      <c r="B111" s="13"/>
      <c r="C111" s="43">
        <f>C110/28</f>
        <v>0.10845213331796229</v>
      </c>
      <c r="D111" s="13" t="s">
        <v>142</v>
      </c>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row>
    <row r="112" spans="1:38" x14ac:dyDescent="0.2">
      <c r="A112" s="13"/>
      <c r="B112" s="13"/>
      <c r="C112" s="43">
        <f>C111*C108*1000</f>
        <v>30.735334582310511</v>
      </c>
      <c r="D112" s="13" t="s">
        <v>44</v>
      </c>
      <c r="E112" s="13" t="s">
        <v>69</v>
      </c>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row>
    <row r="113" spans="1:38" x14ac:dyDescent="0.2">
      <c r="A113" s="13"/>
      <c r="B113" s="23"/>
      <c r="C113" s="43"/>
      <c r="D113" s="13"/>
      <c r="E113" s="13"/>
      <c r="F113" s="13"/>
      <c r="G113" s="13"/>
      <c r="H113" s="13"/>
      <c r="I113" s="4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row>
    <row r="114" spans="1:38" x14ac:dyDescent="0.2">
      <c r="A114" s="13"/>
      <c r="B114" s="23" t="s">
        <v>305</v>
      </c>
      <c r="C114" s="13" t="s">
        <v>299</v>
      </c>
      <c r="D114" s="13"/>
      <c r="E114" s="13"/>
      <c r="F114" s="13"/>
      <c r="G114" s="13"/>
      <c r="H114" s="13"/>
      <c r="I114" s="4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row>
    <row r="115" spans="1:38" x14ac:dyDescent="0.2">
      <c r="A115" s="13"/>
      <c r="B115" s="13" t="s">
        <v>300</v>
      </c>
      <c r="C115" s="43"/>
      <c r="D115" s="13"/>
      <c r="E115" s="13"/>
      <c r="F115" s="13"/>
      <c r="G115" s="13"/>
      <c r="H115" s="13"/>
      <c r="I115" s="4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row>
    <row r="116" spans="1:38" x14ac:dyDescent="0.2">
      <c r="A116" s="13"/>
      <c r="B116" s="13"/>
      <c r="C116" s="43">
        <v>0.4</v>
      </c>
      <c r="D116" s="13"/>
      <c r="E116" s="13"/>
      <c r="F116" s="13"/>
      <c r="G116" s="13"/>
      <c r="H116" s="13"/>
      <c r="I116" s="4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row>
    <row r="117" spans="1:38" x14ac:dyDescent="0.2">
      <c r="A117" s="13"/>
      <c r="B117" s="13" t="s">
        <v>301</v>
      </c>
      <c r="C117" s="4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row>
    <row r="118" spans="1:38" x14ac:dyDescent="0.2">
      <c r="A118" s="13"/>
      <c r="B118" s="13"/>
      <c r="C118" s="43">
        <f>C116*C112</f>
        <v>12.294133832924205</v>
      </c>
      <c r="D118" s="13" t="s">
        <v>44</v>
      </c>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row>
    <row r="119" spans="1:38" x14ac:dyDescent="0.2">
      <c r="A119" s="13"/>
      <c r="B119" s="91"/>
      <c r="C119" s="43">
        <f>C118/3.6</f>
        <v>3.4150371758122788</v>
      </c>
      <c r="D119" s="13" t="s">
        <v>302</v>
      </c>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row>
    <row r="120" spans="1:38" x14ac:dyDescent="0.2">
      <c r="A120" s="13"/>
      <c r="B120" s="91" t="s">
        <v>303</v>
      </c>
      <c r="C120" s="4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row>
    <row r="121" spans="1:38" x14ac:dyDescent="0.2">
      <c r="A121" s="13"/>
      <c r="B121" s="13" t="s">
        <v>304</v>
      </c>
      <c r="C121" s="4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row>
    <row r="122" spans="1:38" x14ac:dyDescent="0.2">
      <c r="A122" s="13"/>
      <c r="B122" s="91"/>
      <c r="C122" s="43">
        <f>Process!E48*Tata_gases!C119*1000</f>
        <v>136.60148703249118</v>
      </c>
      <c r="D122" s="13" t="s">
        <v>158</v>
      </c>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row>
    <row r="123" spans="1:38" x14ac:dyDescent="0.2">
      <c r="A123" s="13"/>
      <c r="B123" s="13"/>
      <c r="C123" s="4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row>
    <row r="124" spans="1:38" x14ac:dyDescent="0.2">
      <c r="A124" s="13"/>
      <c r="B124" s="13"/>
      <c r="C124" s="4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row>
    <row r="125" spans="1:38" x14ac:dyDescent="0.2">
      <c r="A125" s="13"/>
      <c r="B125" s="23"/>
      <c r="C125" s="4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row>
    <row r="126" spans="1:38" x14ac:dyDescent="0.2">
      <c r="A126" s="13"/>
      <c r="B126" s="88" t="s">
        <v>267</v>
      </c>
      <c r="C126" s="86"/>
      <c r="D126" s="8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row>
    <row r="127" spans="1:38" x14ac:dyDescent="0.2">
      <c r="A127" s="13"/>
      <c r="B127" s="13"/>
      <c r="C127" s="4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row>
    <row r="128" spans="1:38" ht="24" x14ac:dyDescent="0.3">
      <c r="A128" s="13"/>
      <c r="B128" s="58" t="s">
        <v>52</v>
      </c>
      <c r="C128" s="4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row>
    <row r="129" spans="1:38" x14ac:dyDescent="0.2">
      <c r="A129" s="13"/>
      <c r="B129" s="13"/>
      <c r="C129" s="4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row>
    <row r="130" spans="1:38" x14ac:dyDescent="0.2">
      <c r="A130" s="13"/>
      <c r="B130" s="13" t="s">
        <v>68</v>
      </c>
      <c r="C130" s="43">
        <f>C122+C102</f>
        <v>255.0381423308863</v>
      </c>
      <c r="D130" s="13" t="s">
        <v>158</v>
      </c>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row>
    <row r="131" spans="1:38" x14ac:dyDescent="0.2">
      <c r="A131" s="23"/>
      <c r="B131" s="13"/>
      <c r="C131" s="4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row>
    <row r="132" spans="1:38" x14ac:dyDescent="0.2">
      <c r="A132" s="13"/>
      <c r="B132" s="13" t="s">
        <v>67</v>
      </c>
      <c r="C132" s="4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row>
    <row r="133" spans="1:38" x14ac:dyDescent="0.2">
      <c r="A133" s="13"/>
      <c r="B133" s="13"/>
      <c r="C133" s="44">
        <f>C130/C63</f>
        <v>83.986407685881375</v>
      </c>
      <c r="D133" s="19" t="s">
        <v>192</v>
      </c>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row>
    <row r="134" spans="1:38" x14ac:dyDescent="0.2">
      <c r="A134" s="13"/>
      <c r="B134" s="13"/>
      <c r="C134" s="4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row>
    <row r="135" spans="1:38" x14ac:dyDescent="0.2">
      <c r="A135" s="13"/>
      <c r="B135" s="13"/>
      <c r="C135" s="4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row>
    <row r="136" spans="1:38" ht="21" x14ac:dyDescent="0.25">
      <c r="A136" s="13"/>
      <c r="B136" s="48" t="s">
        <v>180</v>
      </c>
      <c r="C136" s="4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row>
    <row r="137" spans="1:38" x14ac:dyDescent="0.2">
      <c r="A137" s="13"/>
      <c r="B137" s="13"/>
      <c r="C137" s="4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row>
    <row r="138" spans="1:38" x14ac:dyDescent="0.2">
      <c r="A138" s="13"/>
      <c r="B138" s="13" t="s">
        <v>562</v>
      </c>
      <c r="C138" s="4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row>
    <row r="139" spans="1:38" x14ac:dyDescent="0.2">
      <c r="A139" s="13"/>
      <c r="B139" s="13"/>
      <c r="C139" s="4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row>
    <row r="140" spans="1:38" x14ac:dyDescent="0.2">
      <c r="A140" s="13"/>
      <c r="B140" s="13" t="s">
        <v>563</v>
      </c>
      <c r="C140" s="4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row>
    <row r="141" spans="1:38" x14ac:dyDescent="0.2">
      <c r="A141" s="13"/>
      <c r="B141" s="13"/>
      <c r="C141" s="43">
        <f>C50*E14/E16</f>
        <v>1.5694794396291071E-2</v>
      </c>
      <c r="D141" s="13" t="s">
        <v>144</v>
      </c>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row>
    <row r="142" spans="1:38" x14ac:dyDescent="0.2">
      <c r="A142" s="13"/>
      <c r="B142" s="13"/>
      <c r="C142" s="43">
        <f>C141*2.016</f>
        <v>3.1640705502922799E-2</v>
      </c>
      <c r="D142" s="13" t="s">
        <v>145</v>
      </c>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row>
    <row r="143" spans="1:38" x14ac:dyDescent="0.2">
      <c r="A143" s="13"/>
      <c r="B143" s="13"/>
      <c r="C143" s="4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row>
    <row r="144" spans="1:38" x14ac:dyDescent="0.2">
      <c r="A144" s="13"/>
      <c r="B144" s="13" t="s">
        <v>181</v>
      </c>
      <c r="C144" s="4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row>
    <row r="145" spans="1:38" x14ac:dyDescent="0.2">
      <c r="A145" s="13"/>
      <c r="B145" s="13"/>
      <c r="C145" s="43">
        <f>C142*Process!I18</f>
        <v>73.040698563832507</v>
      </c>
      <c r="D145" s="13" t="s">
        <v>158</v>
      </c>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row>
    <row r="146" spans="1:38" x14ac:dyDescent="0.2">
      <c r="A146" s="13"/>
      <c r="B146" s="13"/>
      <c r="C146" s="4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row>
    <row r="147" spans="1:38" x14ac:dyDescent="0.2">
      <c r="A147" s="13"/>
      <c r="B147" s="13" t="s">
        <v>182</v>
      </c>
      <c r="C147" s="4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row>
    <row r="148" spans="1:38" x14ac:dyDescent="0.2">
      <c r="A148" s="13"/>
      <c r="B148" s="13"/>
      <c r="C148" s="43">
        <f>C130-C145</f>
        <v>181.9974437670538</v>
      </c>
      <c r="D148" s="13" t="s">
        <v>158</v>
      </c>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row>
    <row r="149" spans="1:38" x14ac:dyDescent="0.2">
      <c r="A149" s="13"/>
      <c r="B149" s="13"/>
      <c r="C149" s="44">
        <f>C148/C63</f>
        <v>59.933433369260115</v>
      </c>
      <c r="D149" s="19" t="s">
        <v>192</v>
      </c>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row>
    <row r="150" spans="1:38" x14ac:dyDescent="0.2">
      <c r="A150" s="13"/>
      <c r="B150" s="13"/>
      <c r="C150" s="4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row>
    <row r="151" spans="1:38" x14ac:dyDescent="0.2">
      <c r="A151" s="13"/>
      <c r="B151" s="13"/>
      <c r="C151" s="4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row>
    <row r="152" spans="1:38" x14ac:dyDescent="0.2">
      <c r="A152" s="13"/>
      <c r="B152" s="13"/>
      <c r="C152" s="4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row>
    <row r="153" spans="1:38" x14ac:dyDescent="0.2">
      <c r="A153" s="13"/>
      <c r="B153" s="13"/>
      <c r="C153" s="4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row>
    <row r="154" spans="1:38" ht="26" x14ac:dyDescent="0.3">
      <c r="A154" s="13"/>
      <c r="B154" s="59" t="s">
        <v>355</v>
      </c>
      <c r="C154" s="4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row>
    <row r="155" spans="1:38" x14ac:dyDescent="0.2">
      <c r="A155" s="13"/>
      <c r="B155" s="13"/>
      <c r="C155" s="4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row>
    <row r="156" spans="1:38" x14ac:dyDescent="0.2">
      <c r="A156" s="13"/>
      <c r="B156" s="13" t="s">
        <v>358</v>
      </c>
      <c r="C156" s="43"/>
      <c r="D156" s="13"/>
      <c r="E156" s="13"/>
      <c r="F156" s="13"/>
      <c r="G156" s="13"/>
      <c r="H156" s="13"/>
      <c r="I156" s="13"/>
      <c r="J156" s="13"/>
      <c r="K156" s="13" t="s">
        <v>628</v>
      </c>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row>
    <row r="157" spans="1:38" x14ac:dyDescent="0.2">
      <c r="A157" s="13"/>
      <c r="B157" s="13" t="s">
        <v>483</v>
      </c>
      <c r="C157" s="43">
        <v>1.429</v>
      </c>
      <c r="D157" s="13" t="s">
        <v>482</v>
      </c>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row>
    <row r="158" spans="1:38" x14ac:dyDescent="0.2">
      <c r="A158" s="13"/>
      <c r="B158" s="13"/>
      <c r="C158" s="4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row>
    <row r="159" spans="1:38" x14ac:dyDescent="0.2">
      <c r="A159" s="13"/>
      <c r="B159" s="13"/>
      <c r="C159" s="4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row>
    <row r="160" spans="1:38" ht="21" x14ac:dyDescent="0.25">
      <c r="A160" s="13"/>
      <c r="B160" s="48" t="s">
        <v>347</v>
      </c>
      <c r="C160" s="43"/>
      <c r="D160" s="13"/>
      <c r="E160" s="13"/>
      <c r="F160" s="13" t="s">
        <v>406</v>
      </c>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row>
    <row r="161" spans="1:38" x14ac:dyDescent="0.2">
      <c r="A161" s="13"/>
      <c r="B161" s="23"/>
      <c r="C161" s="4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row>
    <row r="162" spans="1:38" x14ac:dyDescent="0.2">
      <c r="A162" s="13"/>
      <c r="B162" s="13" t="s">
        <v>350</v>
      </c>
      <c r="C162" s="43">
        <f>C214</f>
        <v>1.4935908000000002</v>
      </c>
      <c r="D162" s="13" t="s">
        <v>326</v>
      </c>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row>
    <row r="163" spans="1:38" x14ac:dyDescent="0.2">
      <c r="A163" s="13"/>
      <c r="B163" s="13" t="s">
        <v>9</v>
      </c>
      <c r="C163" s="43">
        <v>80.8</v>
      </c>
      <c r="D163" s="13" t="s">
        <v>348</v>
      </c>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row>
    <row r="164" spans="1:38" x14ac:dyDescent="0.2">
      <c r="A164" s="13"/>
      <c r="B164" s="13"/>
      <c r="C164" s="43">
        <f>C162*C163</f>
        <v>120.68213664000001</v>
      </c>
      <c r="D164" s="13" t="s">
        <v>158</v>
      </c>
      <c r="E164" s="13"/>
      <c r="F164" s="13"/>
      <c r="G164" s="13"/>
      <c r="H164" s="13"/>
      <c r="I164" s="94"/>
      <c r="J164" s="94"/>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row>
    <row r="165" spans="1:38" x14ac:dyDescent="0.2">
      <c r="A165" s="13"/>
      <c r="B165" s="13" t="s">
        <v>91</v>
      </c>
      <c r="C165" s="43">
        <v>11</v>
      </c>
      <c r="D165" s="13" t="s">
        <v>349</v>
      </c>
      <c r="E165" s="13"/>
      <c r="F165" s="13"/>
      <c r="G165" s="13"/>
      <c r="H165" s="13"/>
      <c r="I165" s="94"/>
      <c r="J165" s="94"/>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row>
    <row r="166" spans="1:38" x14ac:dyDescent="0.2">
      <c r="A166" s="13"/>
      <c r="B166" s="13" t="s">
        <v>11</v>
      </c>
      <c r="C166" s="43">
        <v>20</v>
      </c>
      <c r="D166" s="13" t="s">
        <v>70</v>
      </c>
      <c r="E166" s="13"/>
      <c r="F166" s="13"/>
      <c r="G166" s="13"/>
      <c r="H166" s="13"/>
      <c r="I166" s="94"/>
      <c r="J166" s="94"/>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row>
    <row r="167" spans="1:38" x14ac:dyDescent="0.2">
      <c r="A167" s="13"/>
      <c r="B167" s="13" t="s">
        <v>9</v>
      </c>
      <c r="C167" s="43">
        <f>C164/(C166*C162)</f>
        <v>4.04</v>
      </c>
      <c r="D167" s="13" t="s">
        <v>349</v>
      </c>
      <c r="E167" s="13"/>
      <c r="F167" s="13"/>
      <c r="G167" s="13"/>
      <c r="H167" s="13"/>
      <c r="I167" s="94"/>
      <c r="J167" s="94"/>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row>
    <row r="168" spans="1:38" x14ac:dyDescent="0.2">
      <c r="A168" s="13"/>
      <c r="B168" s="13" t="s">
        <v>351</v>
      </c>
      <c r="C168" s="43">
        <v>1.7</v>
      </c>
      <c r="D168" s="13" t="s">
        <v>130</v>
      </c>
      <c r="E168" s="13"/>
      <c r="F168" s="13"/>
      <c r="G168" s="13"/>
      <c r="H168" s="13"/>
      <c r="I168" s="94"/>
      <c r="J168" s="94"/>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row>
    <row r="169" spans="1:38" x14ac:dyDescent="0.2">
      <c r="A169" s="13"/>
      <c r="B169" s="13"/>
      <c r="C169" s="43">
        <f>400/C157</f>
        <v>279.91602519244225</v>
      </c>
      <c r="D169" s="13" t="s">
        <v>264</v>
      </c>
      <c r="F169" s="13" t="s">
        <v>628</v>
      </c>
      <c r="G169" s="13"/>
      <c r="H169" s="13"/>
      <c r="I169" s="94"/>
      <c r="J169" s="94"/>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row>
    <row r="170" spans="1:38" x14ac:dyDescent="0.2">
      <c r="A170" s="13"/>
      <c r="B170" s="13" t="s">
        <v>90</v>
      </c>
      <c r="C170" s="43">
        <f>C169*Process!E48</f>
        <v>11.196641007697691</v>
      </c>
      <c r="D170" s="13" t="s">
        <v>349</v>
      </c>
      <c r="E170" s="13"/>
      <c r="F170" s="13"/>
      <c r="G170" s="13"/>
      <c r="H170" s="13"/>
      <c r="I170" s="94"/>
      <c r="J170" s="94"/>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row>
    <row r="171" spans="1:38" x14ac:dyDescent="0.2">
      <c r="A171" s="13"/>
      <c r="B171" s="13" t="s">
        <v>352</v>
      </c>
      <c r="C171" s="60">
        <v>0</v>
      </c>
      <c r="D171" s="13" t="s">
        <v>349</v>
      </c>
      <c r="E171" s="13"/>
      <c r="F171" s="13" t="s">
        <v>532</v>
      </c>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row>
    <row r="172" spans="1:38" x14ac:dyDescent="0.2">
      <c r="A172" s="13"/>
      <c r="B172" s="13" t="s">
        <v>52</v>
      </c>
      <c r="C172" s="43">
        <f>C171+C170+C167+C165</f>
        <v>26.236641007697692</v>
      </c>
      <c r="D172" s="13" t="s">
        <v>349</v>
      </c>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row>
    <row r="173" spans="1:38"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row>
    <row r="174" spans="1:38" x14ac:dyDescent="0.2">
      <c r="A174" s="13"/>
      <c r="B174" s="13"/>
      <c r="C174" s="4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row>
    <row r="175" spans="1:38" ht="21" x14ac:dyDescent="0.25">
      <c r="A175" s="13"/>
      <c r="B175" s="48" t="s">
        <v>322</v>
      </c>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row>
    <row r="176" spans="1:38"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row>
    <row r="177" spans="1:38" x14ac:dyDescent="0.2">
      <c r="A177" s="13"/>
      <c r="B177" s="13" t="s">
        <v>334</v>
      </c>
      <c r="C177" s="13"/>
      <c r="D177" s="13"/>
      <c r="E177" s="13" t="s">
        <v>356</v>
      </c>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row>
    <row r="178" spans="1:38"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row>
    <row r="179" spans="1:38" x14ac:dyDescent="0.2">
      <c r="A179" s="13"/>
      <c r="B179" s="13" t="s">
        <v>323</v>
      </c>
      <c r="C179" s="13">
        <v>55.844999999999999</v>
      </c>
      <c r="D179" s="13" t="s">
        <v>23</v>
      </c>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row>
    <row r="180" spans="1:38"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row>
    <row r="181" spans="1:38" x14ac:dyDescent="0.2">
      <c r="A181" s="13"/>
      <c r="B181" s="13" t="s">
        <v>329</v>
      </c>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row>
    <row r="182" spans="1:38" x14ac:dyDescent="0.2">
      <c r="A182" s="13"/>
      <c r="B182" s="13"/>
      <c r="C182" s="13">
        <v>6</v>
      </c>
      <c r="D182" s="13" t="s">
        <v>330</v>
      </c>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row>
    <row r="183" spans="1:38" x14ac:dyDescent="0.2">
      <c r="A183" s="13"/>
      <c r="B183" s="13"/>
      <c r="C183" s="43">
        <f>C182/C179</f>
        <v>0.10744023636852001</v>
      </c>
      <c r="D183" s="13" t="s">
        <v>324</v>
      </c>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row>
    <row r="184" spans="1:38" x14ac:dyDescent="0.2">
      <c r="A184" s="13"/>
      <c r="B184" s="13" t="s">
        <v>183</v>
      </c>
      <c r="C184" s="4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row>
    <row r="185" spans="1:38" x14ac:dyDescent="0.2">
      <c r="A185" s="13"/>
      <c r="B185" s="13"/>
      <c r="C185" s="86">
        <f>C183*(3/2)</f>
        <v>0.16116035455278002</v>
      </c>
      <c r="D185" s="13" t="s">
        <v>142</v>
      </c>
      <c r="E185" s="88"/>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row>
    <row r="186" spans="1:38" x14ac:dyDescent="0.2">
      <c r="A186" s="13"/>
      <c r="B186" s="13"/>
      <c r="C186" s="4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row>
    <row r="187" spans="1:38" x14ac:dyDescent="0.2">
      <c r="A187" s="13"/>
      <c r="B187" s="13" t="s">
        <v>335</v>
      </c>
      <c r="C187" s="4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row>
    <row r="188" spans="1:38" x14ac:dyDescent="0.2">
      <c r="A188" s="13"/>
      <c r="B188" s="13"/>
      <c r="C188" s="43">
        <f>C185*(1/2)</f>
        <v>8.0580177276390011E-2</v>
      </c>
      <c r="D188" s="13" t="s">
        <v>325</v>
      </c>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row>
    <row r="189" spans="1:38" x14ac:dyDescent="0.2">
      <c r="A189" s="13"/>
      <c r="B189" s="13"/>
      <c r="C189" s="4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row>
    <row r="190" spans="1:38" x14ac:dyDescent="0.2">
      <c r="A190" s="13"/>
      <c r="B190" s="13" t="s">
        <v>327</v>
      </c>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row>
    <row r="191" spans="1:38" x14ac:dyDescent="0.2">
      <c r="A191" s="13"/>
      <c r="B191" s="13"/>
      <c r="C191" s="43">
        <f>C188*(10/30)*32</f>
        <v>0.85952189094816012</v>
      </c>
      <c r="D191" s="13" t="s">
        <v>328</v>
      </c>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row>
    <row r="192" spans="1:38" x14ac:dyDescent="0.2">
      <c r="A192" s="13"/>
      <c r="B192" s="13" t="s">
        <v>336</v>
      </c>
      <c r="C192" s="4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row>
    <row r="193" spans="1:38" x14ac:dyDescent="0.2">
      <c r="A193" s="13"/>
      <c r="B193" s="13"/>
      <c r="C193" s="43">
        <f>C191/(2/3)</f>
        <v>1.2892828364222402</v>
      </c>
      <c r="D193" s="13" t="s">
        <v>328</v>
      </c>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row>
    <row r="194" spans="1:38" x14ac:dyDescent="0.2">
      <c r="A194" s="13"/>
      <c r="B194" s="13" t="s">
        <v>340</v>
      </c>
      <c r="C194" s="4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row>
    <row r="195" spans="1:38"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row>
    <row r="196" spans="1:38"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row>
    <row r="197" spans="1:38" x14ac:dyDescent="0.2">
      <c r="A197" s="13"/>
      <c r="B197" s="23" t="s">
        <v>357</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row>
    <row r="198" spans="1:38"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row>
    <row r="199" spans="1:38" x14ac:dyDescent="0.2">
      <c r="A199" s="13"/>
      <c r="B199" s="13" t="s">
        <v>338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row>
    <row r="200" spans="1:38" x14ac:dyDescent="0.2">
      <c r="A200" s="13"/>
      <c r="B200" s="13" t="s">
        <v>339</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row>
    <row r="201" spans="1:38" x14ac:dyDescent="0.2">
      <c r="A201" s="13"/>
      <c r="B201" s="13" t="s">
        <v>31</v>
      </c>
      <c r="C201" s="43">
        <f>L39*(1/2)+L40</f>
        <v>9.5586585641980054E-3</v>
      </c>
      <c r="D201" s="13" t="s">
        <v>325</v>
      </c>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row>
    <row r="202" spans="1:38" x14ac:dyDescent="0.2">
      <c r="A202" s="13"/>
      <c r="B202" s="13"/>
      <c r="C202" s="43">
        <f>C201*32</f>
        <v>0.30587707405433617</v>
      </c>
      <c r="D202" s="13" t="s">
        <v>328</v>
      </c>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row>
    <row r="203" spans="1:38" x14ac:dyDescent="0.2">
      <c r="A203" s="13"/>
      <c r="B203" s="13" t="s">
        <v>337</v>
      </c>
      <c r="C203" s="4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row>
    <row r="204" spans="1:38" x14ac:dyDescent="0.2">
      <c r="A204" s="13"/>
      <c r="B204" s="13"/>
      <c r="C204" s="43">
        <f>C202/(1/3)</f>
        <v>0.91763122216300852</v>
      </c>
      <c r="D204" s="13" t="s">
        <v>328</v>
      </c>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row>
    <row r="205" spans="1:38" x14ac:dyDescent="0.2">
      <c r="A205" s="13"/>
      <c r="B205" s="13" t="s">
        <v>340</v>
      </c>
      <c r="C205" s="4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row>
    <row r="206" spans="1:38" x14ac:dyDescent="0.2">
      <c r="A206" s="13"/>
      <c r="B206" s="13"/>
      <c r="C206" s="4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row>
    <row r="207" spans="1:38" x14ac:dyDescent="0.2">
      <c r="A207" s="13"/>
      <c r="B207" s="23" t="s">
        <v>359</v>
      </c>
      <c r="C207" s="4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row>
    <row r="208" spans="1:38" x14ac:dyDescent="0.2">
      <c r="A208" s="13"/>
      <c r="B208" s="13"/>
      <c r="C208" s="4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row>
    <row r="209" spans="1:38" x14ac:dyDescent="0.2">
      <c r="A209" s="13"/>
      <c r="B209" s="13"/>
      <c r="C209" s="43">
        <v>52</v>
      </c>
      <c r="D209" s="13" t="s">
        <v>342</v>
      </c>
      <c r="E209" s="97"/>
      <c r="F209" t="s">
        <v>405</v>
      </c>
      <c r="G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row>
    <row r="210" spans="1:38" x14ac:dyDescent="0.2">
      <c r="A210" s="13"/>
      <c r="B210" s="13"/>
      <c r="C210" s="43">
        <f>C209*1.429</f>
        <v>74.308000000000007</v>
      </c>
      <c r="D210" s="13" t="s">
        <v>343</v>
      </c>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row>
    <row r="211" spans="1:38" x14ac:dyDescent="0.2">
      <c r="A211" s="13"/>
      <c r="B211" s="13" t="s">
        <v>344</v>
      </c>
      <c r="C211" s="4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row>
    <row r="212" spans="1:38" x14ac:dyDescent="0.2">
      <c r="A212" s="13"/>
      <c r="C212" s="43">
        <f>C210*6.7/1000</f>
        <v>0.49786360000000007</v>
      </c>
      <c r="D212" s="13" t="s">
        <v>345</v>
      </c>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row>
    <row r="213" spans="1:38" x14ac:dyDescent="0.2">
      <c r="A213" s="13"/>
      <c r="B213" s="13" t="s">
        <v>346</v>
      </c>
      <c r="C213" s="4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row>
    <row r="214" spans="1:38" x14ac:dyDescent="0.2">
      <c r="A214" s="13"/>
      <c r="C214" s="43">
        <f>C212/(1/3)</f>
        <v>1.4935908000000002</v>
      </c>
      <c r="D214" s="13" t="s">
        <v>345</v>
      </c>
      <c r="E214" s="13" t="s">
        <v>363</v>
      </c>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row>
    <row r="215" spans="1:38" x14ac:dyDescent="0.2">
      <c r="A215" s="13"/>
      <c r="B215" s="13"/>
      <c r="C215" s="4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row>
    <row r="216" spans="1:38" x14ac:dyDescent="0.2">
      <c r="A216" s="13"/>
      <c r="B216" s="13"/>
      <c r="C216" s="4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row>
    <row r="217" spans="1:38"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row>
    <row r="218" spans="1:38"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row>
    <row r="219" spans="1:38"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row>
    <row r="220" spans="1:38"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row>
    <row r="221" spans="1:38"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row>
    <row r="222" spans="1:38"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row>
    <row r="223" spans="1:38"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row>
    <row r="224" spans="1:38"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row>
    <row r="225" spans="1:38"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row>
    <row r="226" spans="1:38"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row>
    <row r="227" spans="1:38"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row>
    <row r="228" spans="1:38"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row>
    <row r="229" spans="1:38"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row>
    <row r="230" spans="1:38"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row>
    <row r="231" spans="1:38"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row>
    <row r="232" spans="1:38"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row>
    <row r="233" spans="1:38"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row>
    <row r="234" spans="1:38"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row>
    <row r="235" spans="1:38"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row>
    <row r="236" spans="1:38"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row>
    <row r="237" spans="1:38"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row>
    <row r="238" spans="1:38"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row>
    <row r="239" spans="1:38"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row>
    <row r="240" spans="1:38"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row>
    <row r="241" spans="1:38"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row>
    <row r="242" spans="1:38"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row>
    <row r="243" spans="1:38"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row>
    <row r="244" spans="1:38"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row>
    <row r="245" spans="1:38"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row>
    <row r="246" spans="1:38"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row>
    <row r="247" spans="1:38" x14ac:dyDescent="0.2">
      <c r="A247" s="13"/>
    </row>
  </sheetData>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B1:S309"/>
  <sheetViews>
    <sheetView workbookViewId="0"/>
  </sheetViews>
  <sheetFormatPr baseColWidth="10" defaultRowHeight="16" x14ac:dyDescent="0.2"/>
  <cols>
    <col min="3" max="3" width="26.33203125" customWidth="1"/>
    <col min="4" max="4" width="14.83203125" customWidth="1"/>
    <col min="5" max="5" width="12.5" customWidth="1"/>
    <col min="6" max="6" width="15.33203125" customWidth="1"/>
    <col min="7" max="7" width="14.33203125" customWidth="1"/>
  </cols>
  <sheetData>
    <row r="1" spans="3:19" s="13" customFormat="1" x14ac:dyDescent="0.2"/>
    <row r="2" spans="3:19" s="13" customFormat="1" x14ac:dyDescent="0.2"/>
    <row r="3" spans="3:19" s="13" customFormat="1" ht="26" x14ac:dyDescent="0.3">
      <c r="C3" s="25" t="s">
        <v>564</v>
      </c>
      <c r="E3" s="1"/>
      <c r="F3" s="1"/>
      <c r="G3" s="1"/>
      <c r="H3" s="1"/>
      <c r="I3" s="1"/>
      <c r="J3" s="1"/>
    </row>
    <row r="4" spans="3:19" s="13" customFormat="1" x14ac:dyDescent="0.2">
      <c r="C4" s="1"/>
      <c r="E4" s="1"/>
      <c r="F4" s="1"/>
      <c r="G4" s="1"/>
      <c r="H4" s="1"/>
      <c r="I4" s="1"/>
      <c r="J4" s="1"/>
    </row>
    <row r="5" spans="3:19" s="13" customFormat="1" ht="21" x14ac:dyDescent="0.25">
      <c r="C5" s="16" t="s">
        <v>529</v>
      </c>
      <c r="P5" s="1"/>
      <c r="Q5" s="43"/>
      <c r="S5" s="1"/>
    </row>
    <row r="6" spans="3:19" s="13" customFormat="1" x14ac:dyDescent="0.2">
      <c r="C6" s="21"/>
      <c r="P6" s="1"/>
      <c r="Q6" s="43"/>
      <c r="S6" s="1"/>
    </row>
    <row r="7" spans="3:19" s="13" customFormat="1" x14ac:dyDescent="0.2">
      <c r="C7" s="19" t="s">
        <v>463</v>
      </c>
      <c r="D7" s="13">
        <v>12</v>
      </c>
      <c r="E7" s="13" t="s">
        <v>96</v>
      </c>
      <c r="P7" s="1"/>
      <c r="Q7" s="43"/>
      <c r="S7" s="1"/>
    </row>
    <row r="8" spans="3:19" s="13" customFormat="1" x14ac:dyDescent="0.2">
      <c r="P8" s="1"/>
      <c r="Q8" s="43"/>
      <c r="S8" s="1"/>
    </row>
    <row r="9" spans="3:19" s="13" customFormat="1" x14ac:dyDescent="0.2">
      <c r="C9" s="23" t="s">
        <v>447</v>
      </c>
      <c r="F9" s="13" t="s">
        <v>473</v>
      </c>
      <c r="G9" s="13" t="s">
        <v>499</v>
      </c>
      <c r="I9" s="13">
        <v>700</v>
      </c>
      <c r="J9" s="13" t="s">
        <v>58</v>
      </c>
      <c r="P9" s="1"/>
      <c r="Q9" s="43"/>
      <c r="S9" s="1"/>
    </row>
    <row r="10" spans="3:19" s="13" customFormat="1" x14ac:dyDescent="0.2">
      <c r="C10" s="2" t="s">
        <v>448</v>
      </c>
      <c r="D10" s="43">
        <f>165+140+195+175</f>
        <v>675</v>
      </c>
      <c r="E10" s="13" t="s">
        <v>71</v>
      </c>
      <c r="G10" s="13" t="s">
        <v>530</v>
      </c>
      <c r="I10" s="13">
        <f>(D15+D16)/0.7</f>
        <v>2039.2857142857144</v>
      </c>
      <c r="J10" s="13" t="s">
        <v>498</v>
      </c>
      <c r="N10" s="2"/>
      <c r="O10" s="43"/>
    </row>
    <row r="11" spans="3:19" s="13" customFormat="1" x14ac:dyDescent="0.2">
      <c r="C11" s="13" t="s">
        <v>450</v>
      </c>
      <c r="D11" s="43">
        <f>165+140</f>
        <v>305</v>
      </c>
      <c r="E11" s="13" t="s">
        <v>71</v>
      </c>
      <c r="N11" s="1"/>
      <c r="O11" s="43"/>
    </row>
    <row r="12" spans="3:19" s="13" customFormat="1" x14ac:dyDescent="0.2">
      <c r="C12" s="1" t="s">
        <v>451</v>
      </c>
      <c r="D12" s="43">
        <v>195</v>
      </c>
      <c r="E12" s="13" t="s">
        <v>71</v>
      </c>
      <c r="F12" s="43"/>
      <c r="O12" s="43"/>
    </row>
    <row r="13" spans="3:19" s="13" customFormat="1" x14ac:dyDescent="0.2">
      <c r="C13" s="13" t="s">
        <v>452</v>
      </c>
      <c r="D13" s="43">
        <v>175</v>
      </c>
      <c r="E13" s="13" t="s">
        <v>71</v>
      </c>
      <c r="O13" s="30"/>
      <c r="P13" s="19"/>
    </row>
    <row r="14" spans="3:19" s="13" customFormat="1" x14ac:dyDescent="0.2">
      <c r="C14" s="23" t="s">
        <v>449</v>
      </c>
      <c r="D14" s="30"/>
      <c r="F14" s="30"/>
      <c r="O14" s="30"/>
      <c r="P14" s="19"/>
    </row>
    <row r="15" spans="3:19" s="13" customFormat="1" x14ac:dyDescent="0.2">
      <c r="C15" s="13" t="s">
        <v>453</v>
      </c>
      <c r="D15" s="30">
        <v>167.5</v>
      </c>
      <c r="E15" s="13" t="s">
        <v>71</v>
      </c>
      <c r="F15" s="30"/>
    </row>
    <row r="16" spans="3:19" s="13" customFormat="1" x14ac:dyDescent="0.2">
      <c r="C16" s="13" t="s">
        <v>454</v>
      </c>
      <c r="D16" s="30">
        <f>360+650+60+190</f>
        <v>1260</v>
      </c>
      <c r="E16" s="13" t="s">
        <v>71</v>
      </c>
    </row>
    <row r="17" spans="3:16" s="13" customFormat="1" x14ac:dyDescent="0.2">
      <c r="D17" s="30"/>
      <c r="F17" s="19"/>
    </row>
    <row r="18" spans="3:16" s="13" customFormat="1" x14ac:dyDescent="0.2">
      <c r="C18" s="1" t="s">
        <v>455</v>
      </c>
      <c r="D18" s="13" t="s">
        <v>456</v>
      </c>
      <c r="E18" s="30"/>
      <c r="F18" s="19"/>
      <c r="N18" s="19"/>
      <c r="O18" s="30"/>
      <c r="P18" s="19"/>
    </row>
    <row r="19" spans="3:16" s="13" customFormat="1" x14ac:dyDescent="0.2">
      <c r="G19" s="30"/>
    </row>
    <row r="20" spans="3:16" s="13" customFormat="1" x14ac:dyDescent="0.2">
      <c r="C20" s="13" t="s">
        <v>527</v>
      </c>
      <c r="G20" s="30"/>
    </row>
    <row r="21" spans="3:16" s="13" customFormat="1" x14ac:dyDescent="0.2">
      <c r="C21" s="13" t="s">
        <v>457</v>
      </c>
      <c r="D21" s="13">
        <v>1</v>
      </c>
      <c r="F21" s="13" t="s">
        <v>211</v>
      </c>
      <c r="G21" s="30"/>
    </row>
    <row r="22" spans="3:16" s="13" customFormat="1" x14ac:dyDescent="0.2">
      <c r="C22" s="13" t="s">
        <v>458</v>
      </c>
      <c r="D22" s="13">
        <v>1</v>
      </c>
      <c r="F22" s="13" t="s">
        <v>211</v>
      </c>
      <c r="G22" s="30"/>
    </row>
    <row r="23" spans="3:16" s="13" customFormat="1" x14ac:dyDescent="0.2">
      <c r="C23" s="21"/>
      <c r="D23" s="30"/>
      <c r="E23" s="19"/>
    </row>
    <row r="24" spans="3:16" s="13" customFormat="1" x14ac:dyDescent="0.2">
      <c r="C24" s="21" t="s">
        <v>459</v>
      </c>
      <c r="D24" s="13">
        <f>D11+D21*D12+D22*D13</f>
        <v>675</v>
      </c>
      <c r="E24" s="13" t="s">
        <v>71</v>
      </c>
      <c r="F24" s="30" t="s">
        <v>461</v>
      </c>
    </row>
    <row r="25" spans="3:16" s="13" customFormat="1" x14ac:dyDescent="0.2">
      <c r="C25" s="23" t="s">
        <v>460</v>
      </c>
      <c r="D25" s="13">
        <f>D21*D15+D22*D16</f>
        <v>1427.5</v>
      </c>
      <c r="E25" s="13" t="s">
        <v>71</v>
      </c>
    </row>
    <row r="26" spans="3:16" s="13" customFormat="1" x14ac:dyDescent="0.2">
      <c r="C26" s="23" t="s">
        <v>462</v>
      </c>
      <c r="D26" s="13">
        <f>D25+D24</f>
        <v>2102.5</v>
      </c>
      <c r="E26" s="13" t="s">
        <v>71</v>
      </c>
    </row>
    <row r="27" spans="3:16" s="13" customFormat="1" x14ac:dyDescent="0.2"/>
    <row r="28" spans="3:16" s="13" customFormat="1" x14ac:dyDescent="0.2">
      <c r="C28" s="19"/>
      <c r="D28" s="30"/>
      <c r="E28" s="19"/>
      <c r="F28" s="19"/>
    </row>
    <row r="29" spans="3:16" s="13" customFormat="1" x14ac:dyDescent="0.2"/>
    <row r="30" spans="3:16" s="13" customFormat="1" ht="21" x14ac:dyDescent="0.25">
      <c r="C30" s="114" t="s">
        <v>528</v>
      </c>
      <c r="L30" s="30"/>
      <c r="M30" s="19"/>
    </row>
    <row r="31" spans="3:16" s="13" customFormat="1" x14ac:dyDescent="0.2">
      <c r="C31" s="30"/>
    </row>
    <row r="32" spans="3:16" s="13" customFormat="1" x14ac:dyDescent="0.2">
      <c r="C32" s="13" t="s">
        <v>465</v>
      </c>
      <c r="F32" s="13" t="s">
        <v>476</v>
      </c>
    </row>
    <row r="33" spans="2:13" s="13" customFormat="1" x14ac:dyDescent="0.2">
      <c r="C33" s="19" t="s">
        <v>15</v>
      </c>
      <c r="D33" s="43">
        <f>D12</f>
        <v>195</v>
      </c>
      <c r="E33" s="13" t="s">
        <v>71</v>
      </c>
    </row>
    <row r="34" spans="2:13" s="13" customFormat="1" x14ac:dyDescent="0.2">
      <c r="C34" s="19" t="s">
        <v>531</v>
      </c>
      <c r="D34" s="43">
        <f>D33/Tata_gases!C66</f>
        <v>21.710365543903109</v>
      </c>
      <c r="E34" s="13" t="s">
        <v>70</v>
      </c>
    </row>
    <row r="35" spans="2:13" s="13" customFormat="1" x14ac:dyDescent="0.2">
      <c r="C35" s="19"/>
      <c r="D35" s="43"/>
    </row>
    <row r="36" spans="2:13" s="13" customFormat="1" x14ac:dyDescent="0.2">
      <c r="C36" s="19" t="s">
        <v>472</v>
      </c>
      <c r="D36" s="43">
        <v>10</v>
      </c>
      <c r="E36" s="13" t="s">
        <v>158</v>
      </c>
    </row>
    <row r="37" spans="2:13" s="13" customFormat="1" x14ac:dyDescent="0.2">
      <c r="B37" s="30"/>
      <c r="C37" s="19" t="s">
        <v>467</v>
      </c>
      <c r="D37" s="13">
        <f>128+166</f>
        <v>294</v>
      </c>
      <c r="E37" s="13" t="s">
        <v>158</v>
      </c>
      <c r="K37" s="19"/>
      <c r="L37" s="30"/>
      <c r="M37" s="19"/>
    </row>
    <row r="38" spans="2:13" s="13" customFormat="1" x14ac:dyDescent="0.2">
      <c r="C38" s="13" t="s">
        <v>468</v>
      </c>
      <c r="D38" s="30">
        <f>20*7.2+4*16</f>
        <v>208</v>
      </c>
      <c r="E38" s="85" t="s">
        <v>158</v>
      </c>
    </row>
    <row r="39" spans="2:13" s="13" customFormat="1" x14ac:dyDescent="0.2">
      <c r="C39" s="13" t="s">
        <v>464</v>
      </c>
      <c r="D39" s="30">
        <f>D38+D37</f>
        <v>502</v>
      </c>
      <c r="E39" s="13" t="s">
        <v>158</v>
      </c>
    </row>
    <row r="40" spans="2:13" s="13" customFormat="1" x14ac:dyDescent="0.2">
      <c r="C40" s="13" t="s">
        <v>310</v>
      </c>
      <c r="D40" s="30">
        <f>1/3*3+100+40</f>
        <v>141</v>
      </c>
      <c r="E40" s="13" t="s">
        <v>158</v>
      </c>
    </row>
    <row r="41" spans="2:13" s="13" customFormat="1" x14ac:dyDescent="0.2">
      <c r="B41" s="19"/>
    </row>
    <row r="42" spans="2:13" s="13" customFormat="1" x14ac:dyDescent="0.2">
      <c r="C42" s="30" t="s">
        <v>469</v>
      </c>
      <c r="D42" s="43">
        <f>D39/D33</f>
        <v>2.5743589743589745</v>
      </c>
      <c r="E42" s="13" t="s">
        <v>186</v>
      </c>
    </row>
    <row r="43" spans="2:13" s="13" customFormat="1" x14ac:dyDescent="0.2">
      <c r="C43" s="13" t="s">
        <v>470</v>
      </c>
      <c r="D43" s="43">
        <f>D40*D34/D33</f>
        <v>15.698264316360708</v>
      </c>
      <c r="E43" s="13" t="s">
        <v>186</v>
      </c>
    </row>
    <row r="44" spans="2:13" s="13" customFormat="1" x14ac:dyDescent="0.2"/>
    <row r="45" spans="2:13" s="13" customFormat="1" x14ac:dyDescent="0.2">
      <c r="C45" s="13" t="s">
        <v>471</v>
      </c>
      <c r="D45" s="44">
        <f>D43+D42+D36/D33</f>
        <v>18.323905342001733</v>
      </c>
      <c r="E45" s="13" t="s">
        <v>186</v>
      </c>
    </row>
    <row r="46" spans="2:13" s="13" customFormat="1" x14ac:dyDescent="0.2">
      <c r="B46" s="19"/>
      <c r="C46" s="19"/>
    </row>
    <row r="47" spans="2:13" s="13" customFormat="1" x14ac:dyDescent="0.2">
      <c r="C47" s="1"/>
      <c r="D47" s="1"/>
      <c r="E47" s="1"/>
      <c r="F47" s="1"/>
      <c r="G47" s="1"/>
    </row>
    <row r="48" spans="2:13" s="13" customFormat="1" x14ac:dyDescent="0.2">
      <c r="C48" s="30"/>
      <c r="L48" s="30"/>
      <c r="M48" s="19"/>
    </row>
    <row r="49" spans="2:13" s="13" customFormat="1" x14ac:dyDescent="0.2">
      <c r="C49" s="30"/>
    </row>
    <row r="50" spans="2:13" s="13" customFormat="1" x14ac:dyDescent="0.2"/>
    <row r="51" spans="2:13" s="13" customFormat="1" x14ac:dyDescent="0.2">
      <c r="C51" s="19"/>
    </row>
    <row r="52" spans="2:13" s="13" customFormat="1" x14ac:dyDescent="0.2">
      <c r="B52" s="30"/>
      <c r="C52" s="19"/>
      <c r="K52" s="19"/>
      <c r="L52" s="30"/>
      <c r="M52" s="19"/>
    </row>
    <row r="53" spans="2:13" s="13" customFormat="1" x14ac:dyDescent="0.2">
      <c r="D53" s="30"/>
    </row>
    <row r="54" spans="2:13" s="13" customFormat="1" x14ac:dyDescent="0.2">
      <c r="D54" s="30"/>
    </row>
    <row r="55" spans="2:13" s="13" customFormat="1" x14ac:dyDescent="0.2">
      <c r="D55" s="30"/>
    </row>
    <row r="56" spans="2:13" s="13" customFormat="1" x14ac:dyDescent="0.2">
      <c r="B56" s="19"/>
    </row>
    <row r="57" spans="2:13" s="13" customFormat="1" x14ac:dyDescent="0.2">
      <c r="C57" s="30"/>
      <c r="L57" s="30"/>
      <c r="M57" s="19"/>
    </row>
    <row r="58" spans="2:13" s="13" customFormat="1" x14ac:dyDescent="0.2">
      <c r="C58" s="30"/>
    </row>
    <row r="59" spans="2:13" s="13" customFormat="1" x14ac:dyDescent="0.2"/>
    <row r="60" spans="2:13" s="13" customFormat="1" x14ac:dyDescent="0.2">
      <c r="C60" s="19"/>
    </row>
    <row r="61" spans="2:13" s="13" customFormat="1" x14ac:dyDescent="0.2">
      <c r="B61" s="30"/>
      <c r="C61" s="19"/>
      <c r="K61" s="19"/>
      <c r="L61" s="30"/>
      <c r="M61" s="19"/>
    </row>
    <row r="62" spans="2:13" s="13" customFormat="1" x14ac:dyDescent="0.2">
      <c r="D62" s="30"/>
    </row>
    <row r="63" spans="2:13" s="13" customFormat="1" x14ac:dyDescent="0.2">
      <c r="D63" s="30"/>
    </row>
    <row r="64" spans="2:13" s="13" customFormat="1" x14ac:dyDescent="0.2">
      <c r="D64" s="30"/>
    </row>
    <row r="65" spans="2:13" s="13" customFormat="1" x14ac:dyDescent="0.2">
      <c r="B65" s="19"/>
    </row>
    <row r="66" spans="2:13" s="13" customFormat="1" x14ac:dyDescent="0.2">
      <c r="C66" s="30"/>
    </row>
    <row r="67" spans="2:13" s="13" customFormat="1" x14ac:dyDescent="0.2"/>
    <row r="68" spans="2:13" s="13" customFormat="1" x14ac:dyDescent="0.2"/>
    <row r="69" spans="2:13" s="13" customFormat="1" x14ac:dyDescent="0.2"/>
    <row r="70" spans="2:13" s="13" customFormat="1" x14ac:dyDescent="0.2">
      <c r="B70" s="19"/>
      <c r="C70" s="19"/>
    </row>
    <row r="71" spans="2:13" s="13" customFormat="1" x14ac:dyDescent="0.2">
      <c r="C71" s="30"/>
      <c r="L71" s="30"/>
      <c r="M71" s="19"/>
    </row>
    <row r="72" spans="2:13" s="13" customFormat="1" x14ac:dyDescent="0.2">
      <c r="C72" s="30"/>
    </row>
    <row r="73" spans="2:13" s="13" customFormat="1" x14ac:dyDescent="0.2"/>
    <row r="74" spans="2:13" s="13" customFormat="1" x14ac:dyDescent="0.2">
      <c r="C74" s="19"/>
    </row>
    <row r="75" spans="2:13" s="13" customFormat="1" x14ac:dyDescent="0.2">
      <c r="B75" s="30"/>
      <c r="C75" s="19"/>
      <c r="K75" s="19"/>
      <c r="L75" s="30"/>
      <c r="M75" s="19"/>
    </row>
    <row r="76" spans="2:13" s="13" customFormat="1" x14ac:dyDescent="0.2">
      <c r="D76" s="30"/>
    </row>
    <row r="77" spans="2:13" s="13" customFormat="1" x14ac:dyDescent="0.2">
      <c r="C77" s="30"/>
      <c r="L77" s="30"/>
      <c r="M77" s="19"/>
    </row>
    <row r="78" spans="2:13" s="13" customFormat="1" x14ac:dyDescent="0.2">
      <c r="C78" s="30"/>
    </row>
    <row r="79" spans="2:13" s="13" customFormat="1" x14ac:dyDescent="0.2">
      <c r="C79" s="30"/>
      <c r="L79" s="30"/>
      <c r="M79" s="19"/>
    </row>
    <row r="80" spans="2:13" s="13" customFormat="1" x14ac:dyDescent="0.2">
      <c r="C80" s="30"/>
    </row>
    <row r="81" spans="2:13" s="13" customFormat="1" x14ac:dyDescent="0.2"/>
    <row r="82" spans="2:13" s="13" customFormat="1" x14ac:dyDescent="0.2">
      <c r="C82" s="19"/>
    </row>
    <row r="83" spans="2:13" s="13" customFormat="1" x14ac:dyDescent="0.2">
      <c r="B83" s="30"/>
      <c r="C83" s="19"/>
      <c r="K83" s="19"/>
      <c r="L83" s="30"/>
      <c r="M83" s="19"/>
    </row>
    <row r="84" spans="2:13" s="13" customFormat="1" x14ac:dyDescent="0.2">
      <c r="D84" s="30"/>
    </row>
    <row r="85" spans="2:13" s="13" customFormat="1" x14ac:dyDescent="0.2">
      <c r="D85" s="30"/>
    </row>
    <row r="86" spans="2:13" s="13" customFormat="1" x14ac:dyDescent="0.2">
      <c r="D86" s="30"/>
    </row>
    <row r="87" spans="2:13" s="13" customFormat="1" x14ac:dyDescent="0.2">
      <c r="B87" s="19"/>
    </row>
    <row r="88" spans="2:13" s="13" customFormat="1" x14ac:dyDescent="0.2">
      <c r="C88" s="30"/>
    </row>
    <row r="89" spans="2:13" s="13" customFormat="1" x14ac:dyDescent="0.2"/>
    <row r="90" spans="2:13" s="13" customFormat="1" x14ac:dyDescent="0.2"/>
    <row r="91" spans="2:13" s="13" customFormat="1" x14ac:dyDescent="0.2"/>
    <row r="92" spans="2:13" s="13" customFormat="1" x14ac:dyDescent="0.2">
      <c r="B92" s="19"/>
      <c r="C92" s="19"/>
    </row>
    <row r="93" spans="2:13" s="13" customFormat="1" x14ac:dyDescent="0.2"/>
    <row r="94" spans="2:13" s="13" customFormat="1" x14ac:dyDescent="0.2"/>
    <row r="95" spans="2:13" s="13" customFormat="1" x14ac:dyDescent="0.2"/>
    <row r="96" spans="2:13" s="13" customFormat="1" x14ac:dyDescent="0.2"/>
    <row r="97" spans="3:11" s="13" customFormat="1" ht="26" x14ac:dyDescent="0.3">
      <c r="C97" s="59" t="s">
        <v>219</v>
      </c>
      <c r="J97" s="1"/>
    </row>
    <row r="98" spans="3:11" s="13" customFormat="1" ht="26" x14ac:dyDescent="0.3">
      <c r="C98" s="59"/>
      <c r="J98" s="1"/>
    </row>
    <row r="99" spans="3:11" s="13" customFormat="1" x14ac:dyDescent="0.2">
      <c r="I99" s="13" t="s">
        <v>250</v>
      </c>
      <c r="J99" s="1"/>
    </row>
    <row r="100" spans="3:11" s="13" customFormat="1" x14ac:dyDescent="0.2">
      <c r="C100" s="13" t="s">
        <v>222</v>
      </c>
      <c r="D100" s="43">
        <f>Process!C22</f>
        <v>0</v>
      </c>
      <c r="E100" s="13" t="s">
        <v>46</v>
      </c>
      <c r="G100" s="19" t="s">
        <v>197</v>
      </c>
      <c r="H100" s="30"/>
      <c r="I100" s="30">
        <f>Process!E70</f>
        <v>0.99990000000000001</v>
      </c>
      <c r="J100" s="30"/>
      <c r="K100" s="30"/>
    </row>
    <row r="101" spans="3:11" s="13" customFormat="1" x14ac:dyDescent="0.2">
      <c r="D101" s="43">
        <f>D100/Process!AR8</f>
        <v>0</v>
      </c>
      <c r="E101" s="13" t="s">
        <v>143</v>
      </c>
      <c r="G101" s="19" t="s">
        <v>198</v>
      </c>
      <c r="H101" s="30"/>
      <c r="I101" s="30">
        <f>Process!W70</f>
        <v>0.98</v>
      </c>
      <c r="J101" s="30"/>
      <c r="K101" s="30"/>
    </row>
    <row r="102" spans="3:11" s="13" customFormat="1" x14ac:dyDescent="0.2">
      <c r="C102" s="13" t="s">
        <v>221</v>
      </c>
      <c r="D102" s="43">
        <f>Tata_gases!C66</f>
        <v>8.9818846949245206</v>
      </c>
      <c r="E102" s="13" t="s">
        <v>46</v>
      </c>
      <c r="F102" s="13" t="s">
        <v>220</v>
      </c>
      <c r="G102" s="19" t="s">
        <v>85</v>
      </c>
      <c r="H102" s="30"/>
      <c r="I102" s="30" t="e">
        <f>#REF!</f>
        <v>#REF!</v>
      </c>
      <c r="J102" s="30"/>
      <c r="K102" s="30"/>
    </row>
    <row r="103" spans="3:11" s="13" customFormat="1" x14ac:dyDescent="0.2">
      <c r="D103" s="43">
        <f>D102/Process!AR8</f>
        <v>0.20413374306646637</v>
      </c>
      <c r="E103" s="13" t="s">
        <v>143</v>
      </c>
      <c r="G103" s="19" t="s">
        <v>87</v>
      </c>
      <c r="H103" s="30"/>
      <c r="I103" s="30">
        <f>Process!W111</f>
        <v>0.95</v>
      </c>
      <c r="J103" s="30"/>
      <c r="K103" s="30"/>
    </row>
    <row r="104" spans="3:11" s="13" customFormat="1" x14ac:dyDescent="0.2">
      <c r="D104" s="43">
        <f>Tata_gases!C50+Tata_gases!C51</f>
        <v>0.19130681818181816</v>
      </c>
      <c r="E104" s="13" t="s">
        <v>225</v>
      </c>
      <c r="G104" s="19" t="s">
        <v>2</v>
      </c>
      <c r="H104" s="30"/>
      <c r="I104" s="30">
        <f>Process!AE70+Process!AE71</f>
        <v>1</v>
      </c>
      <c r="J104" s="30"/>
      <c r="K104" s="30"/>
    </row>
    <row r="105" spans="3:11" s="13" customFormat="1" x14ac:dyDescent="0.2">
      <c r="C105" s="13" t="s">
        <v>227</v>
      </c>
      <c r="D105" s="43">
        <f>D104+D101</f>
        <v>0.19130681818181816</v>
      </c>
      <c r="E105" s="13" t="s">
        <v>143</v>
      </c>
      <c r="G105" s="19" t="s">
        <v>201</v>
      </c>
      <c r="H105" s="19"/>
      <c r="I105" s="19">
        <f>Process!AN69</f>
        <v>0.99</v>
      </c>
      <c r="J105" s="30"/>
      <c r="K105" s="30"/>
    </row>
    <row r="106" spans="3:11" s="13" customFormat="1" x14ac:dyDescent="0.2">
      <c r="D106" s="43"/>
      <c r="G106" s="19" t="s">
        <v>200</v>
      </c>
      <c r="H106" s="30"/>
      <c r="I106" s="30">
        <f>Process!AV69</f>
        <v>0.7</v>
      </c>
      <c r="J106" s="30"/>
    </row>
    <row r="107" spans="3:11" s="13" customFormat="1" x14ac:dyDescent="0.2">
      <c r="D107" s="43"/>
    </row>
    <row r="108" spans="3:11" s="13" customFormat="1" x14ac:dyDescent="0.2">
      <c r="C108" s="13" t="s">
        <v>228</v>
      </c>
      <c r="D108" s="43">
        <f>D101</f>
        <v>0</v>
      </c>
      <c r="F108" s="13" t="s">
        <v>141</v>
      </c>
      <c r="G108" s="13" t="s">
        <v>230</v>
      </c>
    </row>
    <row r="109" spans="3:11" s="13" customFormat="1" x14ac:dyDescent="0.2">
      <c r="C109" s="13" t="s">
        <v>229</v>
      </c>
      <c r="D109" s="43">
        <f>D104</f>
        <v>0.19130681818181816</v>
      </c>
      <c r="F109" s="13" t="s">
        <v>141</v>
      </c>
      <c r="G109" s="13" t="s">
        <v>231</v>
      </c>
    </row>
    <row r="110" spans="3:11" s="13" customFormat="1" x14ac:dyDescent="0.2">
      <c r="D110" s="43"/>
    </row>
    <row r="111" spans="3:11" s="13" customFormat="1" ht="21" x14ac:dyDescent="0.25">
      <c r="C111" s="48" t="s">
        <v>252</v>
      </c>
      <c r="D111" s="43"/>
    </row>
    <row r="112" spans="3:11" s="13" customFormat="1" x14ac:dyDescent="0.2">
      <c r="D112" s="43"/>
    </row>
    <row r="113" spans="3:11" s="13" customFormat="1" x14ac:dyDescent="0.2">
      <c r="C113" s="13" t="s">
        <v>223</v>
      </c>
      <c r="D113" s="43" t="s">
        <v>2</v>
      </c>
      <c r="E113" s="13" t="s">
        <v>217</v>
      </c>
    </row>
    <row r="114" spans="3:11" s="13" customFormat="1" x14ac:dyDescent="0.2">
      <c r="C114" s="13" t="s">
        <v>197</v>
      </c>
      <c r="D114" s="43">
        <f>(1-I100)*Process!I8/Process!AR8</f>
        <v>9.5691178866380185E-6</v>
      </c>
      <c r="E114" s="43">
        <f>(1-I100)*Process!I8/Process!AR8</f>
        <v>9.5691178866380185E-6</v>
      </c>
      <c r="F114" s="13" t="s">
        <v>141</v>
      </c>
      <c r="I114" s="13" t="s">
        <v>195</v>
      </c>
      <c r="K114" s="13" t="s">
        <v>232</v>
      </c>
    </row>
    <row r="115" spans="3:11" s="13" customFormat="1" x14ac:dyDescent="0.2">
      <c r="C115" s="13" t="s">
        <v>198</v>
      </c>
      <c r="D115" s="43">
        <f>(1-I101)*Process!I9/Process!AR7</f>
        <v>2.213308843223722E-3</v>
      </c>
      <c r="E115" s="43">
        <f>(1-I101)*Process!I9/Process!AR7</f>
        <v>2.213308843223722E-3</v>
      </c>
      <c r="F115" s="13" t="s">
        <v>141</v>
      </c>
      <c r="I115" s="13" t="s">
        <v>229</v>
      </c>
      <c r="K115" s="13" t="s">
        <v>233</v>
      </c>
    </row>
    <row r="116" spans="3:11" s="13" customFormat="1" x14ac:dyDescent="0.2">
      <c r="C116" s="13" t="s">
        <v>85</v>
      </c>
      <c r="D116" s="43" t="e">
        <f>IF(Process!B8=1,(1-I102)*Process!G22/Process!AR8,0)</f>
        <v>#REF!</v>
      </c>
      <c r="E116" s="43"/>
      <c r="F116" s="13" t="s">
        <v>141</v>
      </c>
      <c r="I116" s="13" t="s">
        <v>215</v>
      </c>
      <c r="K116" s="13" t="s">
        <v>234</v>
      </c>
    </row>
    <row r="117" spans="3:11" s="13" customFormat="1" x14ac:dyDescent="0.2">
      <c r="C117" s="13" t="s">
        <v>87</v>
      </c>
      <c r="D117" s="43">
        <f>IF(Process!B7=1,(1-I103)*Process!G22/Process!AR8,0)</f>
        <v>0</v>
      </c>
      <c r="E117" s="43"/>
      <c r="F117" s="13" t="s">
        <v>141</v>
      </c>
    </row>
    <row r="118" spans="3:11" s="13" customFormat="1" x14ac:dyDescent="0.2">
      <c r="C118" s="1" t="s">
        <v>2</v>
      </c>
      <c r="D118" s="43">
        <f>(1-I104)*(Process!O8+Process!K22+Process!L30)/Process!AR7</f>
        <v>0</v>
      </c>
      <c r="E118" s="30"/>
      <c r="F118" s="13" t="s">
        <v>141</v>
      </c>
    </row>
    <row r="119" spans="3:11" s="13" customFormat="1" x14ac:dyDescent="0.2">
      <c r="C119" s="13" t="s">
        <v>201</v>
      </c>
      <c r="D119" s="43"/>
      <c r="E119" s="43">
        <f>(1-I105)*(Process!G22*(1/Process!AR8)+Process!O8*(1/Process!AR7))</f>
        <v>2.0413374306646657E-3</v>
      </c>
      <c r="F119" s="13" t="s">
        <v>141</v>
      </c>
    </row>
    <row r="120" spans="3:11" s="13" customFormat="1" x14ac:dyDescent="0.2">
      <c r="C120" s="1" t="s">
        <v>200</v>
      </c>
      <c r="D120" s="43"/>
      <c r="E120" s="43">
        <f>(1-I106)*Process!R12/Process!AR11</f>
        <v>0</v>
      </c>
      <c r="F120" s="13" t="s">
        <v>141</v>
      </c>
    </row>
    <row r="121" spans="3:11" s="13" customFormat="1" x14ac:dyDescent="0.2">
      <c r="C121" s="13" t="s">
        <v>3</v>
      </c>
      <c r="D121" s="43">
        <f>Process!S27*Process!AE70/Process!AR9*11</f>
        <v>0.12471498591499187</v>
      </c>
      <c r="E121" s="43">
        <f>Process!W16/Process!AR9*11</f>
        <v>0</v>
      </c>
      <c r="F121" s="13" t="s">
        <v>141</v>
      </c>
    </row>
    <row r="122" spans="3:11" s="13" customFormat="1" x14ac:dyDescent="0.2">
      <c r="C122" s="13" t="s">
        <v>25</v>
      </c>
      <c r="D122" s="43">
        <f>Process!S27*Process!AE71/Process!AR9*11</f>
        <v>7.93640819459039E-2</v>
      </c>
      <c r="E122" s="43"/>
      <c r="F122" s="13" t="s">
        <v>141</v>
      </c>
    </row>
    <row r="123" spans="3:11" s="13" customFormat="1" x14ac:dyDescent="0.2">
      <c r="C123" s="13" t="s">
        <v>224</v>
      </c>
      <c r="D123" s="43" t="e">
        <f>SUM(D121:D122)+SUM(D114:D118)</f>
        <v>#REF!</v>
      </c>
      <c r="E123" s="43">
        <f>SUM(E119:E121)+SUM(E114:E115)</f>
        <v>4.2642153917750256E-3</v>
      </c>
      <c r="F123" s="13" t="s">
        <v>141</v>
      </c>
    </row>
    <row r="124" spans="3:11" s="13" customFormat="1" x14ac:dyDescent="0.2">
      <c r="D124" s="43">
        <f>(D122+D121)/D105</f>
        <v>1.0667631702856448</v>
      </c>
      <c r="E124" s="43">
        <f>E121/D105</f>
        <v>0</v>
      </c>
      <c r="F124" s="13" t="s">
        <v>226</v>
      </c>
    </row>
    <row r="125" spans="3:11" s="13" customFormat="1" x14ac:dyDescent="0.2">
      <c r="C125" s="13" t="s">
        <v>251</v>
      </c>
      <c r="D125" s="43" t="e">
        <f>D123/D105</f>
        <v>#REF!</v>
      </c>
      <c r="E125" s="43">
        <f>E123/D105</f>
        <v>2.2289928985815402E-2</v>
      </c>
    </row>
    <row r="126" spans="3:11" s="13" customFormat="1" x14ac:dyDescent="0.2">
      <c r="C126" s="13" t="s">
        <v>52</v>
      </c>
      <c r="D126" s="43">
        <f>D105*Process!$AR$8</f>
        <v>8.4174999999999986</v>
      </c>
      <c r="E126" s="13" t="s">
        <v>98</v>
      </c>
    </row>
    <row r="127" spans="3:11" s="13" customFormat="1" x14ac:dyDescent="0.2"/>
    <row r="128" spans="3:11" s="13" customFormat="1" ht="21" x14ac:dyDescent="0.25">
      <c r="C128" s="48" t="s">
        <v>253</v>
      </c>
      <c r="D128" s="43"/>
    </row>
    <row r="129" spans="3:8" s="13" customFormat="1" x14ac:dyDescent="0.2">
      <c r="D129" s="43"/>
    </row>
    <row r="130" spans="3:8" s="13" customFormat="1" x14ac:dyDescent="0.2">
      <c r="D130" s="43" t="s">
        <v>249</v>
      </c>
      <c r="E130" s="13" t="s">
        <v>236</v>
      </c>
      <c r="F130" s="13" t="s">
        <v>237</v>
      </c>
      <c r="G130" s="13" t="s">
        <v>246</v>
      </c>
    </row>
    <row r="131" spans="3:8" s="13" customFormat="1" x14ac:dyDescent="0.2">
      <c r="C131" s="13" t="s">
        <v>3</v>
      </c>
      <c r="D131" s="43">
        <f>F131</f>
        <v>0</v>
      </c>
      <c r="E131" s="43">
        <f>D121*Process!$AR$8</f>
        <v>5.4874593802596427</v>
      </c>
      <c r="F131" s="43">
        <f>E121*Process!$AR$8</f>
        <v>0</v>
      </c>
      <c r="G131" s="43"/>
      <c r="H131" s="13" t="s">
        <v>238</v>
      </c>
    </row>
    <row r="132" spans="3:8" s="13" customFormat="1" x14ac:dyDescent="0.2">
      <c r="C132" s="13" t="s">
        <v>25</v>
      </c>
      <c r="D132" s="43"/>
      <c r="E132" s="43">
        <f>D122*Process!$AR$8</f>
        <v>3.4920196056197716</v>
      </c>
      <c r="F132" s="43"/>
      <c r="G132" s="43"/>
      <c r="H132" s="13" t="s">
        <v>238</v>
      </c>
    </row>
    <row r="133" spans="3:8" s="13" customFormat="1" x14ac:dyDescent="0.2">
      <c r="C133" s="13" t="s">
        <v>195</v>
      </c>
      <c r="D133" s="43"/>
      <c r="E133" s="43">
        <f>-D101*Process!$AR$8</f>
        <v>0</v>
      </c>
      <c r="F133" s="43">
        <f>-D101*Process!$AR$8</f>
        <v>0</v>
      </c>
      <c r="G133" s="43"/>
      <c r="H133" s="13" t="s">
        <v>238</v>
      </c>
    </row>
    <row r="134" spans="3:8" s="13" customFormat="1" x14ac:dyDescent="0.2">
      <c r="C134" s="13" t="s">
        <v>247</v>
      </c>
      <c r="D134" s="43">
        <f>Tata_gases!C51*Process!$AR$8</f>
        <v>4.031441241685144</v>
      </c>
      <c r="E134" s="43">
        <f>D114*Process!$AR$8</f>
        <v>4.210411870120728E-4</v>
      </c>
      <c r="F134" s="43">
        <f>E114*Process!$AR$8</f>
        <v>4.210411870120728E-4</v>
      </c>
      <c r="G134" s="43"/>
      <c r="H134" s="13" t="s">
        <v>238</v>
      </c>
    </row>
    <row r="135" spans="3:8" s="13" customFormat="1" x14ac:dyDescent="0.2">
      <c r="C135" s="13" t="s">
        <v>248</v>
      </c>
      <c r="D135" s="43">
        <f>Tata_gases!C50*Process!$AR$8</f>
        <v>4.3860587583148556</v>
      </c>
      <c r="E135" s="43">
        <f>D115*Process!$AR$8</f>
        <v>9.7385589101843764E-2</v>
      </c>
      <c r="F135" s="43">
        <f>E115*Process!$AR$8</f>
        <v>9.7385589101843764E-2</v>
      </c>
      <c r="G135" s="43"/>
      <c r="H135" s="13" t="s">
        <v>238</v>
      </c>
    </row>
    <row r="136" spans="3:8" s="13" customFormat="1" x14ac:dyDescent="0.2">
      <c r="C136" s="13" t="s">
        <v>85</v>
      </c>
      <c r="D136" s="43"/>
      <c r="E136" s="43" t="e">
        <f>D116*Process!$AR$8</f>
        <v>#REF!</v>
      </c>
      <c r="F136" s="43"/>
      <c r="G136" s="43"/>
      <c r="H136" s="13" t="s">
        <v>238</v>
      </c>
    </row>
    <row r="137" spans="3:8" s="13" customFormat="1" x14ac:dyDescent="0.2">
      <c r="C137" s="13" t="s">
        <v>87</v>
      </c>
      <c r="D137" s="43"/>
      <c r="E137" s="43">
        <f>D117*Process!$AR$8</f>
        <v>0</v>
      </c>
      <c r="F137" s="43"/>
      <c r="G137" s="43"/>
      <c r="H137" s="13" t="s">
        <v>238</v>
      </c>
    </row>
    <row r="138" spans="3:8" s="13" customFormat="1" x14ac:dyDescent="0.2">
      <c r="C138" s="1" t="s">
        <v>2</v>
      </c>
      <c r="D138" s="43"/>
      <c r="E138" s="43">
        <f>D118*Process!$AR$8</f>
        <v>0</v>
      </c>
      <c r="F138" s="43"/>
      <c r="G138" s="43"/>
      <c r="H138" s="13" t="s">
        <v>238</v>
      </c>
    </row>
    <row r="139" spans="3:8" s="13" customFormat="1" x14ac:dyDescent="0.2">
      <c r="C139" s="13" t="s">
        <v>120</v>
      </c>
      <c r="D139" s="43"/>
      <c r="E139" s="43"/>
      <c r="F139" s="43">
        <f>E119*Process!$AR$8</f>
        <v>8.9818846949245287E-2</v>
      </c>
      <c r="G139" s="43"/>
      <c r="H139" s="13" t="s">
        <v>238</v>
      </c>
    </row>
    <row r="140" spans="3:8" s="13" customFormat="1" x14ac:dyDescent="0.2">
      <c r="C140" s="1" t="s">
        <v>129</v>
      </c>
      <c r="D140" s="43"/>
      <c r="E140" s="43"/>
      <c r="F140" s="43">
        <f>E120*Process!$AR$8</f>
        <v>0</v>
      </c>
      <c r="G140" s="43"/>
      <c r="H140" s="13" t="s">
        <v>238</v>
      </c>
    </row>
    <row r="141" spans="3:8" s="13" customFormat="1" x14ac:dyDescent="0.2">
      <c r="C141" s="1" t="s">
        <v>235</v>
      </c>
      <c r="D141" s="43"/>
      <c r="E141" s="43"/>
      <c r="F141" s="43"/>
      <c r="G141" s="43">
        <f>F142+E133</f>
        <v>0.18762547723810113</v>
      </c>
      <c r="H141" s="13" t="s">
        <v>238</v>
      </c>
    </row>
    <row r="142" spans="3:8" s="13" customFormat="1" x14ac:dyDescent="0.2">
      <c r="C142" s="13" t="s">
        <v>224</v>
      </c>
      <c r="D142" s="43"/>
      <c r="E142" s="43" t="e">
        <f>D123*Process!$AR$8</f>
        <v>#REF!</v>
      </c>
      <c r="F142" s="43">
        <f>E123*Process!$AR$8</f>
        <v>0.18762547723810113</v>
      </c>
      <c r="G142" s="43"/>
      <c r="H142" s="13" t="s">
        <v>238</v>
      </c>
    </row>
    <row r="143" spans="3:8" s="13" customFormat="1" x14ac:dyDescent="0.2"/>
    <row r="144" spans="3:8" s="13" customFormat="1" x14ac:dyDescent="0.2"/>
    <row r="145" spans="3:5" s="13" customFormat="1" x14ac:dyDescent="0.2"/>
    <row r="146" spans="3:5" s="13" customFormat="1" x14ac:dyDescent="0.2"/>
    <row r="147" spans="3:5" s="13" customFormat="1" x14ac:dyDescent="0.2">
      <c r="C147" s="13" t="s">
        <v>254</v>
      </c>
    </row>
    <row r="148" spans="3:5" s="13" customFormat="1" x14ac:dyDescent="0.2">
      <c r="C148" s="13" t="s">
        <v>245</v>
      </c>
    </row>
    <row r="149" spans="3:5" s="13" customFormat="1" x14ac:dyDescent="0.2">
      <c r="D149" s="43">
        <f>1/Process!AR9*Process!AR8*11</f>
        <v>3.0987502560950624</v>
      </c>
      <c r="E149" s="13" t="s">
        <v>241</v>
      </c>
    </row>
    <row r="150" spans="3:5" s="13" customFormat="1" x14ac:dyDescent="0.2">
      <c r="D150" s="43">
        <f>D149*(G141/(F142))</f>
        <v>3.0987502560950624</v>
      </c>
      <c r="E150" s="13" t="s">
        <v>242</v>
      </c>
    </row>
    <row r="151" spans="3:5" s="13" customFormat="1" x14ac:dyDescent="0.2">
      <c r="D151" s="74">
        <f>D150/D149</f>
        <v>1</v>
      </c>
      <c r="E151" s="13" t="s">
        <v>243</v>
      </c>
    </row>
    <row r="152" spans="3:5" s="13" customFormat="1" x14ac:dyDescent="0.2">
      <c r="C152" s="13" t="s">
        <v>244</v>
      </c>
      <c r="D152" s="43"/>
    </row>
    <row r="153" spans="3:5" s="13" customFormat="1" x14ac:dyDescent="0.2">
      <c r="D153" s="43" t="e">
        <f>(D134+D135+D131)/Process!W16</f>
        <v>#DIV/0!</v>
      </c>
      <c r="E153" s="13" t="s">
        <v>240</v>
      </c>
    </row>
    <row r="154" spans="3:5" s="13" customFormat="1" x14ac:dyDescent="0.2">
      <c r="D154" s="43" t="e">
        <f>G141/Process!W16</f>
        <v>#DIV/0!</v>
      </c>
      <c r="E154" s="13" t="s">
        <v>239</v>
      </c>
    </row>
    <row r="155" spans="3:5" s="13" customFormat="1" x14ac:dyDescent="0.2">
      <c r="D155" s="73" t="e">
        <f>D154/D153</f>
        <v>#DIV/0!</v>
      </c>
      <c r="E155" s="13" t="s">
        <v>243</v>
      </c>
    </row>
    <row r="156" spans="3:5" s="13" customFormat="1" x14ac:dyDescent="0.2"/>
    <row r="157" spans="3:5" s="13" customFormat="1" x14ac:dyDescent="0.2">
      <c r="C157" s="43"/>
    </row>
    <row r="158" spans="3:5" s="13" customFormat="1" x14ac:dyDescent="0.2"/>
    <row r="159" spans="3:5" s="13" customFormat="1" x14ac:dyDescent="0.2"/>
    <row r="160" spans="3:5" s="13" customFormat="1" x14ac:dyDescent="0.2"/>
    <row r="161" s="13" customFormat="1" x14ac:dyDescent="0.2"/>
    <row r="162" s="13" customFormat="1" x14ac:dyDescent="0.2"/>
    <row r="163" s="13" customFormat="1" x14ac:dyDescent="0.2"/>
    <row r="164" s="13" customFormat="1" x14ac:dyDescent="0.2"/>
    <row r="165" s="13" customFormat="1" x14ac:dyDescent="0.2"/>
    <row r="166" s="13" customFormat="1" x14ac:dyDescent="0.2"/>
    <row r="167" s="13" customFormat="1" x14ac:dyDescent="0.2"/>
    <row r="168" s="13" customFormat="1" x14ac:dyDescent="0.2"/>
    <row r="169" s="13" customFormat="1" x14ac:dyDescent="0.2"/>
    <row r="170" s="13" customFormat="1" x14ac:dyDescent="0.2"/>
    <row r="171" s="13" customFormat="1" x14ac:dyDescent="0.2"/>
    <row r="172" s="13" customFormat="1" x14ac:dyDescent="0.2"/>
    <row r="173" s="13" customFormat="1" x14ac:dyDescent="0.2"/>
    <row r="174" s="13" customFormat="1" x14ac:dyDescent="0.2"/>
    <row r="175" s="13" customFormat="1" x14ac:dyDescent="0.2"/>
    <row r="176" s="13" customFormat="1" x14ac:dyDescent="0.2"/>
    <row r="177" s="13" customFormat="1" x14ac:dyDescent="0.2"/>
    <row r="178" s="13" customFormat="1" x14ac:dyDescent="0.2"/>
    <row r="179" s="13" customFormat="1" x14ac:dyDescent="0.2"/>
    <row r="180" s="13" customFormat="1" x14ac:dyDescent="0.2"/>
    <row r="181" s="13" customFormat="1" x14ac:dyDescent="0.2"/>
    <row r="182" s="13" customFormat="1" x14ac:dyDescent="0.2"/>
    <row r="183" s="13" customFormat="1" x14ac:dyDescent="0.2"/>
    <row r="184" s="13" customFormat="1" x14ac:dyDescent="0.2"/>
    <row r="185" s="13" customFormat="1" x14ac:dyDescent="0.2"/>
    <row r="186" s="13" customFormat="1" x14ac:dyDescent="0.2"/>
    <row r="187" s="13" customFormat="1" x14ac:dyDescent="0.2"/>
    <row r="188" s="13" customFormat="1" x14ac:dyDescent="0.2"/>
    <row r="189" s="13" customFormat="1" x14ac:dyDescent="0.2"/>
    <row r="190" s="13" customFormat="1" x14ac:dyDescent="0.2"/>
    <row r="191" s="13" customFormat="1" x14ac:dyDescent="0.2"/>
    <row r="192" s="13" customFormat="1" x14ac:dyDescent="0.2"/>
    <row r="193" s="13" customFormat="1" x14ac:dyDescent="0.2"/>
    <row r="194" s="13" customFormat="1" x14ac:dyDescent="0.2"/>
    <row r="195" s="13" customFormat="1" x14ac:dyDescent="0.2"/>
    <row r="196" s="13" customFormat="1" x14ac:dyDescent="0.2"/>
    <row r="197" s="13" customFormat="1" x14ac:dyDescent="0.2"/>
    <row r="198" s="13" customFormat="1" x14ac:dyDescent="0.2"/>
    <row r="199" s="13" customFormat="1" x14ac:dyDescent="0.2"/>
    <row r="200" s="13" customFormat="1" x14ac:dyDescent="0.2"/>
    <row r="201" s="13" customFormat="1" x14ac:dyDescent="0.2"/>
    <row r="202" s="13" customFormat="1" x14ac:dyDescent="0.2"/>
    <row r="203" s="13" customFormat="1" x14ac:dyDescent="0.2"/>
    <row r="204" s="13" customFormat="1" x14ac:dyDescent="0.2"/>
    <row r="205" s="13" customFormat="1" x14ac:dyDescent="0.2"/>
    <row r="206" s="13" customFormat="1" x14ac:dyDescent="0.2"/>
    <row r="207" s="13" customFormat="1" x14ac:dyDescent="0.2"/>
    <row r="208" s="13" customFormat="1" x14ac:dyDescent="0.2"/>
    <row r="209" s="13" customFormat="1" x14ac:dyDescent="0.2"/>
    <row r="210" s="13" customFormat="1" x14ac:dyDescent="0.2"/>
    <row r="211" s="13" customFormat="1" x14ac:dyDescent="0.2"/>
    <row r="212" s="13" customFormat="1" x14ac:dyDescent="0.2"/>
    <row r="213" s="13" customFormat="1" x14ac:dyDescent="0.2"/>
    <row r="214" s="13" customFormat="1" x14ac:dyDescent="0.2"/>
    <row r="215" s="13" customFormat="1" x14ac:dyDescent="0.2"/>
    <row r="216" s="13" customFormat="1" x14ac:dyDescent="0.2"/>
    <row r="217" s="13" customFormat="1" x14ac:dyDescent="0.2"/>
    <row r="218" s="13" customFormat="1" x14ac:dyDescent="0.2"/>
    <row r="219" s="13" customFormat="1" x14ac:dyDescent="0.2"/>
    <row r="220" s="13" customFormat="1" x14ac:dyDescent="0.2"/>
    <row r="221" s="13" customFormat="1" x14ac:dyDescent="0.2"/>
    <row r="222" s="13" customFormat="1" x14ac:dyDescent="0.2"/>
    <row r="223" s="13" customFormat="1" x14ac:dyDescent="0.2"/>
    <row r="224" s="13" customFormat="1" x14ac:dyDescent="0.2"/>
    <row r="225" s="13" customFormat="1" x14ac:dyDescent="0.2"/>
    <row r="226" s="13" customFormat="1" x14ac:dyDescent="0.2"/>
    <row r="227" s="13" customFormat="1" x14ac:dyDescent="0.2"/>
    <row r="228" s="13" customFormat="1" x14ac:dyDescent="0.2"/>
    <row r="229" s="13" customFormat="1" x14ac:dyDescent="0.2"/>
    <row r="230" s="13" customFormat="1" x14ac:dyDescent="0.2"/>
    <row r="231" s="13" customFormat="1" x14ac:dyDescent="0.2"/>
    <row r="232" s="13" customFormat="1" x14ac:dyDescent="0.2"/>
    <row r="233" s="13" customFormat="1" x14ac:dyDescent="0.2"/>
    <row r="234" s="13" customFormat="1" x14ac:dyDescent="0.2"/>
    <row r="235" s="13" customFormat="1" x14ac:dyDescent="0.2"/>
    <row r="236" s="13" customFormat="1" x14ac:dyDescent="0.2"/>
    <row r="237" s="13" customFormat="1" x14ac:dyDescent="0.2"/>
    <row r="238" s="13" customFormat="1" x14ac:dyDescent="0.2"/>
    <row r="239" s="13" customFormat="1" x14ac:dyDescent="0.2"/>
    <row r="240" s="13" customFormat="1" x14ac:dyDescent="0.2"/>
    <row r="241" s="13" customFormat="1" x14ac:dyDescent="0.2"/>
    <row r="242" s="13" customFormat="1" x14ac:dyDescent="0.2"/>
    <row r="243" s="13" customFormat="1" x14ac:dyDescent="0.2"/>
    <row r="244" s="13" customFormat="1" x14ac:dyDescent="0.2"/>
    <row r="245" s="13" customFormat="1" x14ac:dyDescent="0.2"/>
    <row r="246" s="13" customFormat="1" x14ac:dyDescent="0.2"/>
    <row r="247" s="13" customFormat="1" x14ac:dyDescent="0.2"/>
    <row r="248" s="13" customFormat="1" x14ac:dyDescent="0.2"/>
    <row r="249" s="13" customFormat="1" x14ac:dyDescent="0.2"/>
    <row r="250" s="13" customFormat="1" x14ac:dyDescent="0.2"/>
    <row r="251" s="13" customFormat="1" x14ac:dyDescent="0.2"/>
    <row r="252" s="13" customFormat="1" x14ac:dyDescent="0.2"/>
    <row r="253" s="13" customFormat="1" x14ac:dyDescent="0.2"/>
    <row r="254" s="13" customFormat="1" x14ac:dyDescent="0.2"/>
    <row r="255" s="13" customFormat="1" x14ac:dyDescent="0.2"/>
    <row r="256" s="13" customFormat="1" x14ac:dyDescent="0.2"/>
    <row r="257" s="13" customFormat="1" x14ac:dyDescent="0.2"/>
    <row r="258" s="13" customFormat="1" x14ac:dyDescent="0.2"/>
    <row r="259" s="13" customFormat="1" x14ac:dyDescent="0.2"/>
    <row r="260" s="13" customFormat="1" x14ac:dyDescent="0.2"/>
    <row r="261" s="13" customFormat="1" x14ac:dyDescent="0.2"/>
    <row r="262" s="13" customFormat="1" x14ac:dyDescent="0.2"/>
    <row r="263" s="13" customFormat="1" x14ac:dyDescent="0.2"/>
    <row r="264" s="13" customFormat="1" x14ac:dyDescent="0.2"/>
    <row r="265" s="13" customFormat="1" x14ac:dyDescent="0.2"/>
    <row r="266" s="13" customFormat="1" x14ac:dyDescent="0.2"/>
    <row r="267" s="13" customFormat="1" x14ac:dyDescent="0.2"/>
    <row r="268" s="13" customFormat="1" x14ac:dyDescent="0.2"/>
    <row r="269" s="13" customFormat="1" x14ac:dyDescent="0.2"/>
    <row r="270" s="13" customFormat="1" x14ac:dyDescent="0.2"/>
    <row r="271" s="13" customFormat="1" x14ac:dyDescent="0.2"/>
    <row r="272" s="13" customFormat="1" x14ac:dyDescent="0.2"/>
    <row r="273" s="13" customFormat="1" x14ac:dyDescent="0.2"/>
    <row r="274" s="13" customFormat="1" x14ac:dyDescent="0.2"/>
    <row r="275" s="13" customFormat="1" x14ac:dyDescent="0.2"/>
    <row r="276" s="13" customFormat="1" x14ac:dyDescent="0.2"/>
    <row r="277" s="13" customFormat="1" x14ac:dyDescent="0.2"/>
    <row r="278" s="13" customFormat="1" x14ac:dyDescent="0.2"/>
    <row r="279" s="13" customFormat="1" x14ac:dyDescent="0.2"/>
    <row r="280" s="13" customFormat="1" x14ac:dyDescent="0.2"/>
    <row r="281" s="13" customFormat="1" x14ac:dyDescent="0.2"/>
    <row r="282" s="13" customFormat="1" x14ac:dyDescent="0.2"/>
    <row r="283" s="13" customFormat="1" x14ac:dyDescent="0.2"/>
    <row r="284" s="13" customFormat="1" x14ac:dyDescent="0.2"/>
    <row r="285" s="13" customFormat="1" x14ac:dyDescent="0.2"/>
    <row r="286" s="13" customFormat="1" x14ac:dyDescent="0.2"/>
    <row r="287" s="13" customFormat="1" x14ac:dyDescent="0.2"/>
    <row r="288" s="13" customFormat="1" x14ac:dyDescent="0.2"/>
    <row r="289" s="13" customFormat="1" x14ac:dyDescent="0.2"/>
    <row r="290" s="13" customFormat="1" x14ac:dyDescent="0.2"/>
    <row r="291" s="13" customFormat="1" x14ac:dyDescent="0.2"/>
    <row r="292" s="13" customFormat="1" x14ac:dyDescent="0.2"/>
    <row r="293" s="13" customFormat="1" x14ac:dyDescent="0.2"/>
    <row r="294" s="13" customFormat="1" x14ac:dyDescent="0.2"/>
    <row r="295" s="13" customFormat="1" x14ac:dyDescent="0.2"/>
    <row r="296" s="13" customFormat="1" x14ac:dyDescent="0.2"/>
    <row r="297" s="13" customFormat="1" x14ac:dyDescent="0.2"/>
    <row r="298" s="13" customFormat="1" x14ac:dyDescent="0.2"/>
    <row r="299" s="13" customFormat="1" x14ac:dyDescent="0.2"/>
    <row r="300" s="13" customFormat="1" x14ac:dyDescent="0.2"/>
    <row r="301" s="13" customFormat="1" x14ac:dyDescent="0.2"/>
    <row r="302" s="13" customFormat="1" x14ac:dyDescent="0.2"/>
    <row r="303" s="13" customFormat="1" x14ac:dyDescent="0.2"/>
    <row r="304" s="13" customFormat="1" x14ac:dyDescent="0.2"/>
    <row r="305" s="13" customFormat="1" x14ac:dyDescent="0.2"/>
    <row r="306" s="13" customFormat="1" x14ac:dyDescent="0.2"/>
    <row r="307" s="13" customFormat="1" x14ac:dyDescent="0.2"/>
    <row r="308" s="13" customFormat="1" x14ac:dyDescent="0.2"/>
    <row r="309" s="13" customFormat="1" x14ac:dyDescent="0.2"/>
  </sheetData>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B1:D350"/>
  <sheetViews>
    <sheetView workbookViewId="0"/>
  </sheetViews>
  <sheetFormatPr baseColWidth="10" defaultRowHeight="16" x14ac:dyDescent="0.2"/>
  <cols>
    <col min="2" max="2" width="11.33203125" customWidth="1"/>
    <col min="3" max="3" width="40.83203125" customWidth="1"/>
  </cols>
  <sheetData>
    <row r="1" spans="2:4" s="13" customFormat="1" x14ac:dyDescent="0.2"/>
    <row r="2" spans="2:4" s="13" customFormat="1" ht="24" x14ac:dyDescent="0.3">
      <c r="B2" s="58" t="s">
        <v>435</v>
      </c>
    </row>
    <row r="3" spans="2:4" s="13" customFormat="1" x14ac:dyDescent="0.2"/>
    <row r="4" spans="2:4" s="13" customFormat="1" ht="19" x14ac:dyDescent="0.25">
      <c r="B4" s="95" t="s">
        <v>381</v>
      </c>
    </row>
    <row r="5" spans="2:4" s="13" customFormat="1" x14ac:dyDescent="0.2">
      <c r="B5" s="23" t="s">
        <v>288</v>
      </c>
      <c r="C5" s="23" t="s">
        <v>279</v>
      </c>
      <c r="D5" s="23" t="s">
        <v>280</v>
      </c>
    </row>
    <row r="6" spans="2:4" s="13" customFormat="1" x14ac:dyDescent="0.2">
      <c r="B6" s="23"/>
      <c r="C6" s="23"/>
      <c r="D6" s="23"/>
    </row>
    <row r="7" spans="2:4" s="13" customFormat="1" x14ac:dyDescent="0.2">
      <c r="B7" s="13" t="s">
        <v>0</v>
      </c>
      <c r="C7" s="13" t="s">
        <v>386</v>
      </c>
      <c r="D7" s="79" t="s">
        <v>404</v>
      </c>
    </row>
    <row r="8" spans="2:4" s="13" customFormat="1" x14ac:dyDescent="0.2">
      <c r="B8" s="13" t="s">
        <v>0</v>
      </c>
      <c r="C8" s="13" t="s">
        <v>292</v>
      </c>
      <c r="D8" t="s">
        <v>283</v>
      </c>
    </row>
    <row r="9" spans="2:4" s="13" customFormat="1" x14ac:dyDescent="0.2">
      <c r="B9" s="13" t="s">
        <v>0</v>
      </c>
      <c r="C9" s="13" t="s">
        <v>287</v>
      </c>
      <c r="D9" s="13" t="s">
        <v>284</v>
      </c>
    </row>
    <row r="10" spans="2:4" s="13" customFormat="1" x14ac:dyDescent="0.2">
      <c r="B10" s="13" t="s">
        <v>389</v>
      </c>
      <c r="C10" s="13" t="s">
        <v>386</v>
      </c>
      <c r="D10" s="13" t="s">
        <v>391</v>
      </c>
    </row>
    <row r="11" spans="2:4" s="13" customFormat="1" x14ac:dyDescent="0.2">
      <c r="B11" s="13" t="s">
        <v>21</v>
      </c>
      <c r="C11" s="13" t="s">
        <v>287</v>
      </c>
      <c r="D11" s="13" t="s">
        <v>390</v>
      </c>
    </row>
    <row r="12" spans="2:4" s="13" customFormat="1" x14ac:dyDescent="0.2">
      <c r="B12" s="13" t="s">
        <v>195</v>
      </c>
      <c r="C12" s="13" t="s">
        <v>333</v>
      </c>
      <c r="D12" s="13" t="s">
        <v>561</v>
      </c>
    </row>
    <row r="13" spans="2:4" s="13" customFormat="1" x14ac:dyDescent="0.2">
      <c r="B13" s="13" t="s">
        <v>1</v>
      </c>
      <c r="C13" s="13" t="s">
        <v>290</v>
      </c>
      <c r="D13" s="13" t="s">
        <v>289</v>
      </c>
    </row>
    <row r="14" spans="2:4" s="13" customFormat="1" x14ac:dyDescent="0.2">
      <c r="B14" s="13" t="s">
        <v>1</v>
      </c>
      <c r="C14" s="13" t="s">
        <v>11</v>
      </c>
      <c r="D14" s="13" t="s">
        <v>380</v>
      </c>
    </row>
    <row r="15" spans="2:4" s="13" customFormat="1" x14ac:dyDescent="0.2">
      <c r="B15" s="13" t="s">
        <v>1</v>
      </c>
      <c r="C15" s="13" t="s">
        <v>504</v>
      </c>
      <c r="D15" t="s">
        <v>505</v>
      </c>
    </row>
    <row r="16" spans="2:4" s="13" customFormat="1" x14ac:dyDescent="0.2">
      <c r="B16" s="13" t="s">
        <v>85</v>
      </c>
      <c r="C16" s="13" t="s">
        <v>622</v>
      </c>
      <c r="D16" s="13" t="s">
        <v>291</v>
      </c>
    </row>
    <row r="17" spans="2:4" s="13" customFormat="1" x14ac:dyDescent="0.2">
      <c r="B17" s="13" t="s">
        <v>85</v>
      </c>
      <c r="C17" s="13" t="s">
        <v>332</v>
      </c>
      <c r="D17" s="13" t="s">
        <v>289</v>
      </c>
    </row>
    <row r="18" spans="2:4" s="13" customFormat="1" x14ac:dyDescent="0.2">
      <c r="B18" s="13" t="s">
        <v>87</v>
      </c>
      <c r="C18" s="13" t="s">
        <v>290</v>
      </c>
      <c r="D18" s="13" t="s">
        <v>484</v>
      </c>
    </row>
    <row r="19" spans="2:4" s="13" customFormat="1" x14ac:dyDescent="0.2">
      <c r="B19" s="13" t="s">
        <v>87</v>
      </c>
      <c r="C19" s="13" t="s">
        <v>394</v>
      </c>
      <c r="D19" s="13" t="s">
        <v>395</v>
      </c>
    </row>
    <row r="20" spans="2:4" s="13" customFormat="1" x14ac:dyDescent="0.2">
      <c r="B20" s="13" t="s">
        <v>2</v>
      </c>
      <c r="C20" s="13" t="s">
        <v>384</v>
      </c>
      <c r="D20" s="13" t="s">
        <v>293</v>
      </c>
    </row>
    <row r="21" spans="2:4" s="13" customFormat="1" x14ac:dyDescent="0.2">
      <c r="B21" s="13" t="s">
        <v>2</v>
      </c>
      <c r="C21" s="13" t="s">
        <v>433</v>
      </c>
      <c r="D21" s="13" t="s">
        <v>434</v>
      </c>
    </row>
    <row r="22" spans="2:4" s="13" customFormat="1" x14ac:dyDescent="0.2">
      <c r="B22" s="13" t="s">
        <v>2</v>
      </c>
      <c r="C22" s="13" t="s">
        <v>441</v>
      </c>
      <c r="D22" s="13" t="s">
        <v>442</v>
      </c>
    </row>
    <row r="23" spans="2:4" s="13" customFormat="1" x14ac:dyDescent="0.2">
      <c r="B23" s="13" t="s">
        <v>199</v>
      </c>
      <c r="C23" s="13" t="s">
        <v>385</v>
      </c>
      <c r="D23" s="13" t="s">
        <v>297</v>
      </c>
    </row>
    <row r="24" spans="2:4" s="13" customFormat="1" x14ac:dyDescent="0.2">
      <c r="B24" s="13" t="s">
        <v>199</v>
      </c>
      <c r="C24" s="13" t="s">
        <v>294</v>
      </c>
      <c r="D24" s="13" t="s">
        <v>493</v>
      </c>
    </row>
    <row r="25" spans="2:4" s="13" customFormat="1" x14ac:dyDescent="0.2">
      <c r="B25" s="13" t="s">
        <v>199</v>
      </c>
      <c r="C25" s="13" t="s">
        <v>294</v>
      </c>
      <c r="D25" s="13" t="s">
        <v>298</v>
      </c>
    </row>
    <row r="26" spans="2:4" s="13" customFormat="1" x14ac:dyDescent="0.2">
      <c r="B26" s="13" t="s">
        <v>200</v>
      </c>
      <c r="C26" s="13" t="s">
        <v>295</v>
      </c>
      <c r="D26" s="13" t="s">
        <v>296</v>
      </c>
    </row>
    <row r="27" spans="2:4" s="13" customFormat="1" x14ac:dyDescent="0.2">
      <c r="B27" s="13" t="s">
        <v>200</v>
      </c>
      <c r="C27" s="13" t="s">
        <v>331</v>
      </c>
      <c r="D27" s="13" t="s">
        <v>397</v>
      </c>
    </row>
    <row r="28" spans="2:4" s="13" customFormat="1" x14ac:dyDescent="0.2">
      <c r="B28" s="13" t="s">
        <v>200</v>
      </c>
      <c r="C28" s="13" t="s">
        <v>331</v>
      </c>
      <c r="D28" s="13" t="s">
        <v>396</v>
      </c>
    </row>
    <row r="29" spans="2:4" s="13" customFormat="1" x14ac:dyDescent="0.2"/>
    <row r="30" spans="2:4" s="13" customFormat="1" x14ac:dyDescent="0.2">
      <c r="B30" s="23" t="s">
        <v>382</v>
      </c>
      <c r="C30" s="23" t="s">
        <v>279</v>
      </c>
      <c r="D30" s="23" t="s">
        <v>280</v>
      </c>
    </row>
    <row r="31" spans="2:4" s="13" customFormat="1" x14ac:dyDescent="0.2"/>
    <row r="32" spans="2:4" s="13" customFormat="1" x14ac:dyDescent="0.2">
      <c r="B32" s="13" t="s">
        <v>368</v>
      </c>
      <c r="C32" s="13" t="s">
        <v>367</v>
      </c>
      <c r="D32" s="13" t="s">
        <v>365</v>
      </c>
    </row>
    <row r="33" spans="2:4" s="13" customFormat="1" x14ac:dyDescent="0.2">
      <c r="B33" s="13" t="s">
        <v>368</v>
      </c>
      <c r="C33" s="13" t="s">
        <v>366</v>
      </c>
      <c r="D33" s="13" t="s">
        <v>369</v>
      </c>
    </row>
    <row r="34" spans="2:4" s="13" customFormat="1" x14ac:dyDescent="0.2">
      <c r="B34" s="13" t="s">
        <v>368</v>
      </c>
      <c r="C34" s="13" t="s">
        <v>411</v>
      </c>
      <c r="D34" s="13" t="s">
        <v>412</v>
      </c>
    </row>
    <row r="35" spans="2:4" s="13" customFormat="1" x14ac:dyDescent="0.2">
      <c r="B35" s="13" t="s">
        <v>392</v>
      </c>
      <c r="C35" s="13" t="s">
        <v>393</v>
      </c>
      <c r="D35" t="s">
        <v>362</v>
      </c>
    </row>
    <row r="36" spans="2:4" s="13" customFormat="1" x14ac:dyDescent="0.2">
      <c r="B36" s="13" t="s">
        <v>392</v>
      </c>
      <c r="C36" s="13" t="s">
        <v>393</v>
      </c>
      <c r="D36" s="13" t="s">
        <v>361</v>
      </c>
    </row>
    <row r="37" spans="2:4" s="13" customFormat="1" x14ac:dyDescent="0.2">
      <c r="B37" s="13" t="s">
        <v>383</v>
      </c>
      <c r="C37" s="13" t="s">
        <v>364</v>
      </c>
      <c r="D37" s="13" t="s">
        <v>353</v>
      </c>
    </row>
    <row r="38" spans="2:4" s="13" customFormat="1" x14ac:dyDescent="0.2">
      <c r="B38" s="13" t="s">
        <v>383</v>
      </c>
      <c r="C38" s="13" t="s">
        <v>414</v>
      </c>
      <c r="D38" s="13" t="s">
        <v>415</v>
      </c>
    </row>
    <row r="39" spans="2:4" s="13" customFormat="1" x14ac:dyDescent="0.2">
      <c r="B39" s="13" t="s">
        <v>474</v>
      </c>
      <c r="C39" s="13" t="s">
        <v>331</v>
      </c>
      <c r="D39" s="13" t="s">
        <v>466</v>
      </c>
    </row>
    <row r="40" spans="2:4" s="13" customFormat="1" x14ac:dyDescent="0.2">
      <c r="B40" s="13" t="s">
        <v>474</v>
      </c>
      <c r="C40" s="13" t="s">
        <v>382</v>
      </c>
      <c r="D40" s="46" t="s">
        <v>475</v>
      </c>
    </row>
    <row r="41" spans="2:4" s="13" customFormat="1" x14ac:dyDescent="0.2"/>
    <row r="42" spans="2:4" s="13" customFormat="1" x14ac:dyDescent="0.2">
      <c r="B42" s="23" t="s">
        <v>403</v>
      </c>
      <c r="C42" s="23" t="s">
        <v>279</v>
      </c>
      <c r="D42" s="23" t="s">
        <v>280</v>
      </c>
    </row>
    <row r="43" spans="2:4" s="13" customFormat="1" x14ac:dyDescent="0.2">
      <c r="B43" s="23"/>
      <c r="C43" s="23"/>
      <c r="D43" s="23"/>
    </row>
    <row r="44" spans="2:4" s="13" customFormat="1" x14ac:dyDescent="0.2">
      <c r="B44" s="13" t="s">
        <v>510</v>
      </c>
      <c r="C44" s="13" t="s">
        <v>513</v>
      </c>
      <c r="D44" t="s">
        <v>514</v>
      </c>
    </row>
    <row r="45" spans="2:4" s="13" customFormat="1" x14ac:dyDescent="0.2">
      <c r="B45" s="13" t="s">
        <v>510</v>
      </c>
      <c r="C45" s="13" t="s">
        <v>511</v>
      </c>
      <c r="D45" s="13" t="s">
        <v>512</v>
      </c>
    </row>
    <row r="46" spans="2:4" s="13" customFormat="1" x14ac:dyDescent="0.2">
      <c r="B46" s="13" t="s">
        <v>306</v>
      </c>
      <c r="C46" s="13" t="s">
        <v>557</v>
      </c>
      <c r="D46" s="13" t="s">
        <v>293</v>
      </c>
    </row>
    <row r="47" spans="2:4" s="13" customFormat="1" x14ac:dyDescent="0.2">
      <c r="B47" s="13" t="s">
        <v>306</v>
      </c>
      <c r="C47" s="13" t="s">
        <v>557</v>
      </c>
      <c r="D47" s="13" t="s">
        <v>378</v>
      </c>
    </row>
    <row r="48" spans="2:4" s="13" customFormat="1" x14ac:dyDescent="0.2">
      <c r="B48" s="13" t="s">
        <v>306</v>
      </c>
      <c r="C48" s="13" t="s">
        <v>556</v>
      </c>
      <c r="D48" s="13" t="s">
        <v>558</v>
      </c>
    </row>
    <row r="49" s="13" customFormat="1" x14ac:dyDescent="0.2"/>
    <row r="50" s="13" customFormat="1" x14ac:dyDescent="0.2"/>
    <row r="51" s="13" customFormat="1" x14ac:dyDescent="0.2"/>
    <row r="52" s="13" customFormat="1" x14ac:dyDescent="0.2"/>
    <row r="53" s="13" customFormat="1" x14ac:dyDescent="0.2"/>
    <row r="54" s="13" customFormat="1" x14ac:dyDescent="0.2"/>
    <row r="55" s="13" customFormat="1" x14ac:dyDescent="0.2"/>
    <row r="56" s="13" customFormat="1" x14ac:dyDescent="0.2"/>
    <row r="57" s="13" customFormat="1" x14ac:dyDescent="0.2"/>
    <row r="58" s="13" customFormat="1" x14ac:dyDescent="0.2"/>
    <row r="59" s="13" customFormat="1" x14ac:dyDescent="0.2"/>
    <row r="60" s="13" customFormat="1" x14ac:dyDescent="0.2"/>
    <row r="61" s="13" customFormat="1" x14ac:dyDescent="0.2"/>
    <row r="62" s="13" customFormat="1" x14ac:dyDescent="0.2"/>
    <row r="63" s="13" customFormat="1" x14ac:dyDescent="0.2"/>
    <row r="64" s="13" customFormat="1" x14ac:dyDescent="0.2"/>
    <row r="65" s="13" customFormat="1" x14ac:dyDescent="0.2"/>
    <row r="66" s="13" customFormat="1" x14ac:dyDescent="0.2"/>
    <row r="67" s="13" customFormat="1" x14ac:dyDescent="0.2"/>
    <row r="68" s="13" customFormat="1" x14ac:dyDescent="0.2"/>
    <row r="69" s="13" customFormat="1" x14ac:dyDescent="0.2"/>
    <row r="70" s="13" customFormat="1" x14ac:dyDescent="0.2"/>
    <row r="71" s="13" customFormat="1" x14ac:dyDescent="0.2"/>
    <row r="72" s="13" customFormat="1" x14ac:dyDescent="0.2"/>
    <row r="73" s="13" customFormat="1" x14ac:dyDescent="0.2"/>
    <row r="74" s="13" customFormat="1" x14ac:dyDescent="0.2"/>
    <row r="75" s="13" customFormat="1" x14ac:dyDescent="0.2"/>
    <row r="76" s="13" customFormat="1" x14ac:dyDescent="0.2"/>
    <row r="77" s="13" customFormat="1" x14ac:dyDescent="0.2"/>
    <row r="78" s="13" customFormat="1" x14ac:dyDescent="0.2"/>
    <row r="79" s="13" customFormat="1" x14ac:dyDescent="0.2"/>
    <row r="80" s="13" customFormat="1" x14ac:dyDescent="0.2"/>
    <row r="81" s="13" customFormat="1" x14ac:dyDescent="0.2"/>
    <row r="82" s="13" customFormat="1" x14ac:dyDescent="0.2"/>
    <row r="83" s="13" customFormat="1" x14ac:dyDescent="0.2"/>
    <row r="84" s="13" customFormat="1" x14ac:dyDescent="0.2"/>
    <row r="85" s="13" customFormat="1" x14ac:dyDescent="0.2"/>
    <row r="86" s="13" customFormat="1" x14ac:dyDescent="0.2"/>
    <row r="87" s="13" customFormat="1" x14ac:dyDescent="0.2"/>
    <row r="88" s="13" customFormat="1" x14ac:dyDescent="0.2"/>
    <row r="89" s="13" customFormat="1" x14ac:dyDescent="0.2"/>
    <row r="90" s="13" customFormat="1" x14ac:dyDescent="0.2"/>
    <row r="91" s="13" customFormat="1" x14ac:dyDescent="0.2"/>
    <row r="92" s="13" customFormat="1" x14ac:dyDescent="0.2"/>
    <row r="93" s="13" customFormat="1" x14ac:dyDescent="0.2"/>
    <row r="94" s="13" customFormat="1" x14ac:dyDescent="0.2"/>
    <row r="95" s="13" customFormat="1" x14ac:dyDescent="0.2"/>
    <row r="96" s="13" customFormat="1" x14ac:dyDescent="0.2"/>
    <row r="97" s="13" customFormat="1" x14ac:dyDescent="0.2"/>
    <row r="98" s="13" customFormat="1" x14ac:dyDescent="0.2"/>
    <row r="99" s="13" customFormat="1" x14ac:dyDescent="0.2"/>
    <row r="100" s="13" customFormat="1" x14ac:dyDescent="0.2"/>
    <row r="101" s="13" customFormat="1" x14ac:dyDescent="0.2"/>
    <row r="102" s="13" customFormat="1" x14ac:dyDescent="0.2"/>
    <row r="103" s="13" customFormat="1" x14ac:dyDescent="0.2"/>
    <row r="104" s="13" customFormat="1" x14ac:dyDescent="0.2"/>
    <row r="105" s="13" customFormat="1" x14ac:dyDescent="0.2"/>
    <row r="106" s="13" customFormat="1" x14ac:dyDescent="0.2"/>
    <row r="107" s="13" customFormat="1" x14ac:dyDescent="0.2"/>
    <row r="108" s="13" customFormat="1" x14ac:dyDescent="0.2"/>
    <row r="109" s="13" customFormat="1" x14ac:dyDescent="0.2"/>
    <row r="110" s="13" customFormat="1" x14ac:dyDescent="0.2"/>
    <row r="111" s="13" customFormat="1" x14ac:dyDescent="0.2"/>
    <row r="112" s="13" customFormat="1" x14ac:dyDescent="0.2"/>
    <row r="113" s="13" customFormat="1" x14ac:dyDescent="0.2"/>
    <row r="114" s="13" customFormat="1" x14ac:dyDescent="0.2"/>
    <row r="115" s="13" customFormat="1" x14ac:dyDescent="0.2"/>
    <row r="116" s="13" customFormat="1" x14ac:dyDescent="0.2"/>
    <row r="117" s="13" customFormat="1" x14ac:dyDescent="0.2"/>
    <row r="118" s="13" customFormat="1" x14ac:dyDescent="0.2"/>
    <row r="119" s="13" customFormat="1" x14ac:dyDescent="0.2"/>
    <row r="120" s="13" customFormat="1" x14ac:dyDescent="0.2"/>
    <row r="121" s="13" customFormat="1" x14ac:dyDescent="0.2"/>
    <row r="122" s="13" customFormat="1" x14ac:dyDescent="0.2"/>
    <row r="123" s="13" customFormat="1" x14ac:dyDescent="0.2"/>
    <row r="124" s="13" customFormat="1" x14ac:dyDescent="0.2"/>
    <row r="125" s="13" customFormat="1" x14ac:dyDescent="0.2"/>
    <row r="126" s="13" customFormat="1" x14ac:dyDescent="0.2"/>
    <row r="127" s="13" customFormat="1" x14ac:dyDescent="0.2"/>
    <row r="128" s="13" customFormat="1" x14ac:dyDescent="0.2"/>
    <row r="129" s="13" customFormat="1" x14ac:dyDescent="0.2"/>
    <row r="130" s="13" customFormat="1" x14ac:dyDescent="0.2"/>
    <row r="131" s="13" customFormat="1" x14ac:dyDescent="0.2"/>
    <row r="132" s="13" customFormat="1" x14ac:dyDescent="0.2"/>
    <row r="133" s="13" customFormat="1" x14ac:dyDescent="0.2"/>
    <row r="134" s="13" customFormat="1" x14ac:dyDescent="0.2"/>
    <row r="135" s="13" customFormat="1" x14ac:dyDescent="0.2"/>
    <row r="136" s="13" customFormat="1" x14ac:dyDescent="0.2"/>
    <row r="137" s="13" customFormat="1" x14ac:dyDescent="0.2"/>
    <row r="138" s="13" customFormat="1" x14ac:dyDescent="0.2"/>
    <row r="139" s="13" customFormat="1" x14ac:dyDescent="0.2"/>
    <row r="140" s="13" customFormat="1" x14ac:dyDescent="0.2"/>
    <row r="141" s="13" customFormat="1" x14ac:dyDescent="0.2"/>
    <row r="142" s="13" customFormat="1" x14ac:dyDescent="0.2"/>
    <row r="143" s="13" customFormat="1" x14ac:dyDescent="0.2"/>
    <row r="144" s="13" customFormat="1" x14ac:dyDescent="0.2"/>
    <row r="145" s="13" customFormat="1" x14ac:dyDescent="0.2"/>
    <row r="146" s="13" customFormat="1" x14ac:dyDescent="0.2"/>
    <row r="147" s="13" customFormat="1" x14ac:dyDescent="0.2"/>
    <row r="148" s="13" customFormat="1" x14ac:dyDescent="0.2"/>
    <row r="149" s="13" customFormat="1" x14ac:dyDescent="0.2"/>
    <row r="150" s="13" customFormat="1" x14ac:dyDescent="0.2"/>
    <row r="151" s="13" customFormat="1" x14ac:dyDescent="0.2"/>
    <row r="152" s="13" customFormat="1" x14ac:dyDescent="0.2"/>
    <row r="153" s="13" customFormat="1" x14ac:dyDescent="0.2"/>
    <row r="154" s="13" customFormat="1" x14ac:dyDescent="0.2"/>
    <row r="155" s="13" customFormat="1" x14ac:dyDescent="0.2"/>
    <row r="156" s="13" customFormat="1" x14ac:dyDescent="0.2"/>
    <row r="157" s="13" customFormat="1" x14ac:dyDescent="0.2"/>
    <row r="158" s="13" customFormat="1" x14ac:dyDescent="0.2"/>
    <row r="159" s="13" customFormat="1" x14ac:dyDescent="0.2"/>
    <row r="160" s="13" customFormat="1" x14ac:dyDescent="0.2"/>
    <row r="161" s="13" customFormat="1" x14ac:dyDescent="0.2"/>
    <row r="162" s="13" customFormat="1" x14ac:dyDescent="0.2"/>
    <row r="163" s="13" customFormat="1" x14ac:dyDescent="0.2"/>
    <row r="164" s="13" customFormat="1" x14ac:dyDescent="0.2"/>
    <row r="165" s="13" customFormat="1" x14ac:dyDescent="0.2"/>
    <row r="166" s="13" customFormat="1" x14ac:dyDescent="0.2"/>
    <row r="167" s="13" customFormat="1" x14ac:dyDescent="0.2"/>
    <row r="168" s="13" customFormat="1" x14ac:dyDescent="0.2"/>
    <row r="169" s="13" customFormat="1" x14ac:dyDescent="0.2"/>
    <row r="170" s="13" customFormat="1" x14ac:dyDescent="0.2"/>
    <row r="171" s="13" customFormat="1" x14ac:dyDescent="0.2"/>
    <row r="172" s="13" customFormat="1" x14ac:dyDescent="0.2"/>
    <row r="173" s="13" customFormat="1" x14ac:dyDescent="0.2"/>
    <row r="174" s="13" customFormat="1" x14ac:dyDescent="0.2"/>
    <row r="175" s="13" customFormat="1" x14ac:dyDescent="0.2"/>
    <row r="176" s="13" customFormat="1" x14ac:dyDescent="0.2"/>
    <row r="177" s="13" customFormat="1" x14ac:dyDescent="0.2"/>
    <row r="178" s="13" customFormat="1" x14ac:dyDescent="0.2"/>
    <row r="179" s="13" customFormat="1" x14ac:dyDescent="0.2"/>
    <row r="180" s="13" customFormat="1" x14ac:dyDescent="0.2"/>
    <row r="181" s="13" customFormat="1" x14ac:dyDescent="0.2"/>
    <row r="182" s="13" customFormat="1" x14ac:dyDescent="0.2"/>
    <row r="183" s="13" customFormat="1" x14ac:dyDescent="0.2"/>
    <row r="184" s="13" customFormat="1" x14ac:dyDescent="0.2"/>
    <row r="185" s="13" customFormat="1" x14ac:dyDescent="0.2"/>
    <row r="186" s="13" customFormat="1" x14ac:dyDescent="0.2"/>
    <row r="187" s="13" customFormat="1" x14ac:dyDescent="0.2"/>
    <row r="188" s="13" customFormat="1" x14ac:dyDescent="0.2"/>
    <row r="189" s="13" customFormat="1" x14ac:dyDescent="0.2"/>
    <row r="190" s="13" customFormat="1" x14ac:dyDescent="0.2"/>
    <row r="191" s="13" customFormat="1" x14ac:dyDescent="0.2"/>
    <row r="192" s="13" customFormat="1" x14ac:dyDescent="0.2"/>
    <row r="193" s="13" customFormat="1" x14ac:dyDescent="0.2"/>
    <row r="194" s="13" customFormat="1" x14ac:dyDescent="0.2"/>
    <row r="195" s="13" customFormat="1" x14ac:dyDescent="0.2"/>
    <row r="196" s="13" customFormat="1" x14ac:dyDescent="0.2"/>
    <row r="197" s="13" customFormat="1" x14ac:dyDescent="0.2"/>
    <row r="198" s="13" customFormat="1" x14ac:dyDescent="0.2"/>
    <row r="199" s="13" customFormat="1" x14ac:dyDescent="0.2"/>
    <row r="200" s="13" customFormat="1" x14ac:dyDescent="0.2"/>
    <row r="201" s="13" customFormat="1" x14ac:dyDescent="0.2"/>
    <row r="202" s="13" customFormat="1" x14ac:dyDescent="0.2"/>
    <row r="203" s="13" customFormat="1" x14ac:dyDescent="0.2"/>
    <row r="204" s="13" customFormat="1" x14ac:dyDescent="0.2"/>
    <row r="205" s="13" customFormat="1" x14ac:dyDescent="0.2"/>
    <row r="206" s="13" customFormat="1" x14ac:dyDescent="0.2"/>
    <row r="207" s="13" customFormat="1" x14ac:dyDescent="0.2"/>
    <row r="208" s="13" customFormat="1" x14ac:dyDescent="0.2"/>
    <row r="209" s="13" customFormat="1" x14ac:dyDescent="0.2"/>
    <row r="210" s="13" customFormat="1" x14ac:dyDescent="0.2"/>
    <row r="211" s="13" customFormat="1" x14ac:dyDescent="0.2"/>
    <row r="212" s="13" customFormat="1" x14ac:dyDescent="0.2"/>
    <row r="213" s="13" customFormat="1" x14ac:dyDescent="0.2"/>
    <row r="214" s="13" customFormat="1" x14ac:dyDescent="0.2"/>
    <row r="215" s="13" customFormat="1" x14ac:dyDescent="0.2"/>
    <row r="216" s="13" customFormat="1" x14ac:dyDescent="0.2"/>
    <row r="217" s="13" customFormat="1" x14ac:dyDescent="0.2"/>
    <row r="218" s="13" customFormat="1" x14ac:dyDescent="0.2"/>
    <row r="219" s="13" customFormat="1" x14ac:dyDescent="0.2"/>
    <row r="220" s="13" customFormat="1" x14ac:dyDescent="0.2"/>
    <row r="221" s="13" customFormat="1" x14ac:dyDescent="0.2"/>
    <row r="222" s="13" customFormat="1" x14ac:dyDescent="0.2"/>
    <row r="223" s="13" customFormat="1" x14ac:dyDescent="0.2"/>
    <row r="224" s="13" customFormat="1" x14ac:dyDescent="0.2"/>
    <row r="225" s="13" customFormat="1" x14ac:dyDescent="0.2"/>
    <row r="226" s="13" customFormat="1" x14ac:dyDescent="0.2"/>
    <row r="227" s="13" customFormat="1" x14ac:dyDescent="0.2"/>
    <row r="228" s="13" customFormat="1" x14ac:dyDescent="0.2"/>
    <row r="229" s="13" customFormat="1" x14ac:dyDescent="0.2"/>
    <row r="230" s="13" customFormat="1" x14ac:dyDescent="0.2"/>
    <row r="231" s="13" customFormat="1" x14ac:dyDescent="0.2"/>
    <row r="232" s="13" customFormat="1" x14ac:dyDescent="0.2"/>
    <row r="233" s="13" customFormat="1" x14ac:dyDescent="0.2"/>
    <row r="234" s="13" customFormat="1" x14ac:dyDescent="0.2"/>
    <row r="235" s="13" customFormat="1" x14ac:dyDescent="0.2"/>
    <row r="236" s="13" customFormat="1" x14ac:dyDescent="0.2"/>
    <row r="237" s="13" customFormat="1" x14ac:dyDescent="0.2"/>
    <row r="238" s="13" customFormat="1" x14ac:dyDescent="0.2"/>
    <row r="239" s="13" customFormat="1" x14ac:dyDescent="0.2"/>
    <row r="240" s="13" customFormat="1" x14ac:dyDescent="0.2"/>
    <row r="241" s="13" customFormat="1" x14ac:dyDescent="0.2"/>
    <row r="242" s="13" customFormat="1" x14ac:dyDescent="0.2"/>
    <row r="243" s="13" customFormat="1" x14ac:dyDescent="0.2"/>
    <row r="244" s="13" customFormat="1" x14ac:dyDescent="0.2"/>
    <row r="245" s="13" customFormat="1" x14ac:dyDescent="0.2"/>
    <row r="246" s="13" customFormat="1" x14ac:dyDescent="0.2"/>
    <row r="247" s="13" customFormat="1" x14ac:dyDescent="0.2"/>
    <row r="248" s="13" customFormat="1" x14ac:dyDescent="0.2"/>
    <row r="249" s="13" customFormat="1" x14ac:dyDescent="0.2"/>
    <row r="250" s="13" customFormat="1" x14ac:dyDescent="0.2"/>
    <row r="251" s="13" customFormat="1" x14ac:dyDescent="0.2"/>
    <row r="252" s="13" customFormat="1" x14ac:dyDescent="0.2"/>
    <row r="253" s="13" customFormat="1" x14ac:dyDescent="0.2"/>
    <row r="254" s="13" customFormat="1" x14ac:dyDescent="0.2"/>
    <row r="255" s="13" customFormat="1" x14ac:dyDescent="0.2"/>
    <row r="256" s="13" customFormat="1" x14ac:dyDescent="0.2"/>
    <row r="257" s="13" customFormat="1" x14ac:dyDescent="0.2"/>
    <row r="258" s="13" customFormat="1" x14ac:dyDescent="0.2"/>
    <row r="259" s="13" customFormat="1" x14ac:dyDescent="0.2"/>
    <row r="260" s="13" customFormat="1" x14ac:dyDescent="0.2"/>
    <row r="261" s="13" customFormat="1" x14ac:dyDescent="0.2"/>
    <row r="262" s="13" customFormat="1" x14ac:dyDescent="0.2"/>
    <row r="263" s="13" customFormat="1" x14ac:dyDescent="0.2"/>
    <row r="264" s="13" customFormat="1" x14ac:dyDescent="0.2"/>
    <row r="265" s="13" customFormat="1" x14ac:dyDescent="0.2"/>
    <row r="266" s="13" customFormat="1" x14ac:dyDescent="0.2"/>
    <row r="267" s="13" customFormat="1" x14ac:dyDescent="0.2"/>
    <row r="268" s="13" customFormat="1" x14ac:dyDescent="0.2"/>
    <row r="269" s="13" customFormat="1" x14ac:dyDescent="0.2"/>
    <row r="270" s="13" customFormat="1" x14ac:dyDescent="0.2"/>
    <row r="271" s="13" customFormat="1" x14ac:dyDescent="0.2"/>
    <row r="272" s="13" customFormat="1" x14ac:dyDescent="0.2"/>
    <row r="273" s="13" customFormat="1" x14ac:dyDescent="0.2"/>
    <row r="274" s="13" customFormat="1" x14ac:dyDescent="0.2"/>
    <row r="275" s="13" customFormat="1" x14ac:dyDescent="0.2"/>
    <row r="276" s="13" customFormat="1" x14ac:dyDescent="0.2"/>
    <row r="277" s="13" customFormat="1" x14ac:dyDescent="0.2"/>
    <row r="278" s="13" customFormat="1" x14ac:dyDescent="0.2"/>
    <row r="279" s="13" customFormat="1" x14ac:dyDescent="0.2"/>
    <row r="280" s="13" customFormat="1" x14ac:dyDescent="0.2"/>
    <row r="281" s="13" customFormat="1" x14ac:dyDescent="0.2"/>
    <row r="282" s="13" customFormat="1" x14ac:dyDescent="0.2"/>
    <row r="283" s="13" customFormat="1" x14ac:dyDescent="0.2"/>
    <row r="284" s="13" customFormat="1" x14ac:dyDescent="0.2"/>
    <row r="285" s="13" customFormat="1" x14ac:dyDescent="0.2"/>
    <row r="286" s="13" customFormat="1" x14ac:dyDescent="0.2"/>
    <row r="287" s="13" customFormat="1" x14ac:dyDescent="0.2"/>
    <row r="288" s="13" customFormat="1" x14ac:dyDescent="0.2"/>
    <row r="289" s="13" customFormat="1" x14ac:dyDescent="0.2"/>
    <row r="290" s="13" customFormat="1" x14ac:dyDescent="0.2"/>
    <row r="291" s="13" customFormat="1" x14ac:dyDescent="0.2"/>
    <row r="292" s="13" customFormat="1" x14ac:dyDescent="0.2"/>
    <row r="293" s="13" customFormat="1" x14ac:dyDescent="0.2"/>
    <row r="294" s="13" customFormat="1" x14ac:dyDescent="0.2"/>
    <row r="295" s="13" customFormat="1" x14ac:dyDescent="0.2"/>
    <row r="296" s="13" customFormat="1" x14ac:dyDescent="0.2"/>
    <row r="297" s="13" customFormat="1" x14ac:dyDescent="0.2"/>
    <row r="298" s="13" customFormat="1" x14ac:dyDescent="0.2"/>
    <row r="299" s="13" customFormat="1" x14ac:dyDescent="0.2"/>
    <row r="300" s="13" customFormat="1" x14ac:dyDescent="0.2"/>
    <row r="301" s="13" customFormat="1" x14ac:dyDescent="0.2"/>
    <row r="302" s="13" customFormat="1" x14ac:dyDescent="0.2"/>
    <row r="303" s="13" customFormat="1" x14ac:dyDescent="0.2"/>
    <row r="304" s="13" customFormat="1" x14ac:dyDescent="0.2"/>
    <row r="305" s="13" customFormat="1" x14ac:dyDescent="0.2"/>
    <row r="306" s="13" customFormat="1" x14ac:dyDescent="0.2"/>
    <row r="307" s="13" customFormat="1" x14ac:dyDescent="0.2"/>
    <row r="308" s="13" customFormat="1" x14ac:dyDescent="0.2"/>
    <row r="309" s="13" customFormat="1" x14ac:dyDescent="0.2"/>
    <row r="310" s="13" customFormat="1" x14ac:dyDescent="0.2"/>
    <row r="311" s="13" customFormat="1" x14ac:dyDescent="0.2"/>
    <row r="312" s="13" customFormat="1" x14ac:dyDescent="0.2"/>
    <row r="313" s="13" customFormat="1" x14ac:dyDescent="0.2"/>
    <row r="314" s="13" customFormat="1" x14ac:dyDescent="0.2"/>
    <row r="315" s="13" customFormat="1" x14ac:dyDescent="0.2"/>
    <row r="316" s="13" customFormat="1" x14ac:dyDescent="0.2"/>
    <row r="317" s="13" customFormat="1" x14ac:dyDescent="0.2"/>
    <row r="318" s="13" customFormat="1" x14ac:dyDescent="0.2"/>
    <row r="319" s="13" customFormat="1" x14ac:dyDescent="0.2"/>
    <row r="320" s="13" customFormat="1" x14ac:dyDescent="0.2"/>
    <row r="321" s="13" customFormat="1" x14ac:dyDescent="0.2"/>
    <row r="322" s="13" customFormat="1" x14ac:dyDescent="0.2"/>
    <row r="323" s="13" customFormat="1" x14ac:dyDescent="0.2"/>
    <row r="324" s="13" customFormat="1" x14ac:dyDescent="0.2"/>
    <row r="325" s="13" customFormat="1" x14ac:dyDescent="0.2"/>
    <row r="326" s="13" customFormat="1" x14ac:dyDescent="0.2"/>
    <row r="327" s="13" customFormat="1" x14ac:dyDescent="0.2"/>
    <row r="328" s="13" customFormat="1" x14ac:dyDescent="0.2"/>
    <row r="329" s="13" customFormat="1" x14ac:dyDescent="0.2"/>
    <row r="330" s="13" customFormat="1" x14ac:dyDescent="0.2"/>
    <row r="331" s="13" customFormat="1" x14ac:dyDescent="0.2"/>
    <row r="332" s="13" customFormat="1" x14ac:dyDescent="0.2"/>
    <row r="333" s="13" customFormat="1" x14ac:dyDescent="0.2"/>
    <row r="334" s="13" customFormat="1" x14ac:dyDescent="0.2"/>
    <row r="335" s="13" customFormat="1" x14ac:dyDescent="0.2"/>
    <row r="336" s="13" customFormat="1" x14ac:dyDescent="0.2"/>
    <row r="337" s="13" customFormat="1" x14ac:dyDescent="0.2"/>
    <row r="338" s="13" customFormat="1" x14ac:dyDescent="0.2"/>
    <row r="339" s="13" customFormat="1" x14ac:dyDescent="0.2"/>
    <row r="340" s="13" customFormat="1" x14ac:dyDescent="0.2"/>
    <row r="341" s="13" customFormat="1" x14ac:dyDescent="0.2"/>
    <row r="342" s="13" customFormat="1" x14ac:dyDescent="0.2"/>
    <row r="343" s="13" customFormat="1" x14ac:dyDescent="0.2"/>
    <row r="344" s="13" customFormat="1" x14ac:dyDescent="0.2"/>
    <row r="345" s="13" customFormat="1" x14ac:dyDescent="0.2"/>
    <row r="346" s="13" customFormat="1" x14ac:dyDescent="0.2"/>
    <row r="347" s="13" customFormat="1" x14ac:dyDescent="0.2"/>
    <row r="348" s="13" customFormat="1" x14ac:dyDescent="0.2"/>
    <row r="349" s="13" customFormat="1" x14ac:dyDescent="0.2"/>
    <row r="350" s="13" customFormat="1" x14ac:dyDescent="0.2"/>
  </sheetData>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Overview</vt:lpstr>
      <vt:lpstr>Process</vt:lpstr>
      <vt:lpstr>CO2_emissions</vt:lpstr>
      <vt:lpstr>Tata_gases</vt:lpstr>
      <vt:lpstr>CO2_Storage_Costs</vt:lpstr>
      <vt:lpstr>Sources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Terwel</dc:creator>
  <cp:lastModifiedBy>Rob Terwel</cp:lastModifiedBy>
  <dcterms:created xsi:type="dcterms:W3CDTF">2017-09-13T15:03:45Z</dcterms:created>
  <dcterms:modified xsi:type="dcterms:W3CDTF">2018-02-28T14:09:16Z</dcterms:modified>
</cp:coreProperties>
</file>